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/>
  <mc:AlternateContent xmlns:mc="http://schemas.openxmlformats.org/markup-compatibility/2006">
    <mc:Choice Requires="x15">
      <x15ac:absPath xmlns:x15ac="http://schemas.microsoft.com/office/spreadsheetml/2010/11/ac" url="\\DESKTOP-jd38mko\Shared\SALES\AVAILABILITY LISTS\Aquatics\"/>
    </mc:Choice>
  </mc:AlternateContent>
  <xr:revisionPtr revIDLastSave="0" documentId="13_ncr:1_{A6015CD1-387B-4D55-A6CF-DA224E7467D5}" xr6:coauthVersionLast="47" xr6:coauthVersionMax="47" xr10:uidLastSave="{00000000-0000-0000-0000-000000000000}"/>
  <bookViews>
    <workbookView xWindow="28680" yWindow="-120" windowWidth="29040" windowHeight="15840" xr2:uid="{3890AAD4-81FE-4E19-8AFE-533B09707B10}"/>
  </bookViews>
  <sheets>
    <sheet name="Order Page" sheetId="2" r:id="rId1"/>
    <sheet name="Order Summary" sheetId="3" r:id="rId2"/>
    <sheet name="TB" sheetId="4" r:id="rId3"/>
    <sheet name="Nursery Sheet" sheetId="6" r:id="rId4"/>
    <sheet name="Import" sheetId="7" r:id="rId5"/>
    <sheet name="L" sheetId="8" r:id="rId6"/>
  </sheets>
  <definedNames>
    <definedName name="_xlnm.Print_Area" localSheetId="3">'Nursery Sheet'!$B$1:$J$212</definedName>
    <definedName name="_xlnm.Print_Area" localSheetId="0">'Order Page'!$A$1:$I$386</definedName>
    <definedName name="_xlnm.Print_Area" localSheetId="1">'Order Summary'!$A$1:$E$159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J1" i="7" l="1"/>
  <c r="I2" i="7"/>
  <c r="B1" i="3" l="1"/>
  <c r="M11" i="8"/>
  <c r="M12" i="8"/>
  <c r="M13" i="8"/>
  <c r="M14" i="8"/>
  <c r="M15" i="8"/>
  <c r="M16" i="8"/>
  <c r="M17" i="8"/>
  <c r="M18" i="8"/>
  <c r="M19" i="8"/>
  <c r="M20" i="8"/>
  <c r="M21" i="8"/>
  <c r="M22" i="8"/>
  <c r="M23" i="8"/>
  <c r="M24" i="8"/>
  <c r="M25" i="8"/>
  <c r="M26" i="8"/>
  <c r="M27" i="8"/>
  <c r="P5" i="8"/>
  <c r="P6" i="8"/>
  <c r="P7" i="8"/>
  <c r="P8" i="8"/>
  <c r="P9" i="8"/>
  <c r="P10" i="8"/>
  <c r="P11" i="8"/>
  <c r="P12" i="8"/>
  <c r="P13" i="8"/>
  <c r="P14" i="8"/>
  <c r="P15" i="8"/>
  <c r="P4" i="8"/>
  <c r="J5" i="8"/>
  <c r="J6" i="8"/>
  <c r="J7" i="8"/>
  <c r="J8" i="8"/>
  <c r="J9" i="8"/>
  <c r="J10" i="8"/>
  <c r="J11" i="8"/>
  <c r="J12" i="8"/>
  <c r="J13" i="8"/>
  <c r="J14" i="8"/>
  <c r="J15" i="8"/>
  <c r="J16" i="8"/>
  <c r="J17" i="8"/>
  <c r="J18" i="8"/>
  <c r="J19" i="8"/>
  <c r="J20" i="8"/>
  <c r="J21" i="8"/>
  <c r="J22" i="8"/>
  <c r="J23" i="8"/>
  <c r="M4" i="8"/>
  <c r="M5" i="8"/>
  <c r="M6" i="8"/>
  <c r="M7" i="8"/>
  <c r="M8" i="8"/>
  <c r="M9" i="8"/>
  <c r="M10" i="8"/>
  <c r="J4" i="8"/>
  <c r="E16" i="8"/>
  <c r="H45" i="8"/>
  <c r="H44" i="8"/>
  <c r="H43" i="8"/>
  <c r="H42" i="8"/>
  <c r="H41" i="8"/>
  <c r="H40" i="8"/>
  <c r="H39" i="8"/>
  <c r="H38" i="8"/>
  <c r="H37" i="8"/>
  <c r="H36" i="8"/>
  <c r="H35" i="8"/>
  <c r="H34" i="8"/>
  <c r="H33" i="8"/>
  <c r="E17" i="8"/>
  <c r="E18" i="8"/>
  <c r="E19" i="8"/>
  <c r="E20" i="8"/>
  <c r="E21" i="8"/>
  <c r="E22" i="8"/>
  <c r="E23" i="8"/>
  <c r="E24" i="8"/>
  <c r="E25" i="8"/>
  <c r="H4" i="8"/>
  <c r="H5" i="8"/>
  <c r="H6" i="8"/>
  <c r="H7" i="8"/>
  <c r="H8" i="8"/>
  <c r="H9" i="8"/>
  <c r="H10" i="8"/>
  <c r="H11" i="8"/>
  <c r="H12" i="8"/>
  <c r="H13" i="8"/>
  <c r="H14" i="8"/>
  <c r="H15" i="8"/>
  <c r="H16" i="8"/>
  <c r="H17" i="8"/>
  <c r="H18" i="8"/>
  <c r="H19" i="8"/>
  <c r="B4" i="8"/>
  <c r="B5" i="8"/>
  <c r="B6" i="8"/>
  <c r="B7" i="8"/>
  <c r="B8" i="8"/>
  <c r="B9" i="8"/>
  <c r="B10" i="8"/>
  <c r="B11" i="8"/>
  <c r="B12" i="8"/>
  <c r="B13" i="8"/>
  <c r="B14" i="8"/>
  <c r="B15" i="8"/>
  <c r="B16" i="8"/>
  <c r="B17" i="8"/>
  <c r="B18" i="8"/>
  <c r="B19" i="8"/>
  <c r="B20" i="8"/>
  <c r="B21" i="8"/>
  <c r="B22" i="8"/>
  <c r="B23" i="8"/>
  <c r="B24" i="8"/>
  <c r="B25" i="8"/>
  <c r="B26" i="8"/>
  <c r="B27" i="8"/>
  <c r="B28" i="8"/>
  <c r="B29" i="8"/>
  <c r="B30" i="8"/>
  <c r="B31" i="8"/>
  <c r="B32" i="8"/>
  <c r="B33" i="8"/>
  <c r="B34" i="8"/>
  <c r="B35" i="8"/>
  <c r="B36" i="8"/>
  <c r="E4" i="8"/>
  <c r="E5" i="8"/>
  <c r="E6" i="8"/>
  <c r="E7" i="8"/>
  <c r="E8" i="8"/>
  <c r="E9" i="8"/>
  <c r="E10" i="8"/>
  <c r="E11" i="8"/>
  <c r="E12" i="8"/>
  <c r="E13" i="8"/>
  <c r="E14" i="8"/>
  <c r="E15" i="8"/>
  <c r="AA28" i="2" l="1"/>
  <c r="AF28" i="2" s="1"/>
  <c r="AD28" i="2"/>
  <c r="Z28" i="2" s="1"/>
  <c r="AA29" i="2"/>
  <c r="AF29" i="2" s="1"/>
  <c r="AD29" i="2"/>
  <c r="Z29" i="2" s="1"/>
  <c r="U29" i="2"/>
  <c r="U28" i="2"/>
  <c r="W29" i="2" l="1"/>
  <c r="X29" i="2"/>
  <c r="W28" i="2"/>
  <c r="X28" i="2"/>
  <c r="AB28" i="2"/>
  <c r="AB29" i="2"/>
  <c r="AK18" i="2" l="1"/>
  <c r="A351" i="2" l="1"/>
  <c r="AD122" i="2" l="1"/>
  <c r="Z122" i="2" s="1"/>
  <c r="AB122" i="2" s="1"/>
  <c r="AD123" i="2"/>
  <c r="Z123" i="2" s="1"/>
  <c r="AB123" i="2" s="1"/>
  <c r="AD124" i="2"/>
  <c r="Z124" i="2" s="1"/>
  <c r="AA124" i="2" s="1"/>
  <c r="AD125" i="2"/>
  <c r="Z125" i="2" s="1"/>
  <c r="AB125" i="2" s="1"/>
  <c r="AD126" i="2"/>
  <c r="Z126" i="2" s="1"/>
  <c r="AA126" i="2" s="1"/>
  <c r="AD127" i="2"/>
  <c r="Z127" i="2" s="1"/>
  <c r="AA127" i="2" s="1"/>
  <c r="AD128" i="2"/>
  <c r="Z128" i="2" s="1"/>
  <c r="AB128" i="2" s="1"/>
  <c r="AD129" i="2"/>
  <c r="Z129" i="2" s="1"/>
  <c r="AB129" i="2" s="1"/>
  <c r="AD130" i="2"/>
  <c r="AD131" i="2"/>
  <c r="Z131" i="2" s="1"/>
  <c r="AB131" i="2" s="1"/>
  <c r="AD132" i="2"/>
  <c r="Z132" i="2" s="1"/>
  <c r="AA132" i="2" s="1"/>
  <c r="AD133" i="2"/>
  <c r="Z133" i="2" s="1"/>
  <c r="AA133" i="2" s="1"/>
  <c r="AD134" i="2"/>
  <c r="AD135" i="2"/>
  <c r="Z135" i="2" s="1"/>
  <c r="AB135" i="2" s="1"/>
  <c r="AD136" i="2"/>
  <c r="Z136" i="2" s="1"/>
  <c r="AB136" i="2" s="1"/>
  <c r="AD137" i="2"/>
  <c r="Z137" i="2" s="1"/>
  <c r="AA137" i="2" s="1"/>
  <c r="AD138" i="2"/>
  <c r="AD139" i="2"/>
  <c r="Z139" i="2" s="1"/>
  <c r="AB139" i="2" s="1"/>
  <c r="AD140" i="2"/>
  <c r="Z140" i="2" s="1"/>
  <c r="AB140" i="2" s="1"/>
  <c r="AD141" i="2"/>
  <c r="Z141" i="2" s="1"/>
  <c r="AA141" i="2" s="1"/>
  <c r="AD142" i="2"/>
  <c r="Z142" i="2" s="1"/>
  <c r="AA142" i="2" s="1"/>
  <c r="AD143" i="2"/>
  <c r="Z143" i="2" s="1"/>
  <c r="AA143" i="2" s="1"/>
  <c r="AD144" i="2"/>
  <c r="Z144" i="2" s="1"/>
  <c r="AA144" i="2" s="1"/>
  <c r="AD145" i="2"/>
  <c r="Z145" i="2" s="1"/>
  <c r="AA145" i="2" s="1"/>
  <c r="AD146" i="2"/>
  <c r="AD147" i="2"/>
  <c r="Z147" i="2" s="1"/>
  <c r="AB147" i="2" s="1"/>
  <c r="AD148" i="2"/>
  <c r="Z148" i="2" s="1"/>
  <c r="AD149" i="2"/>
  <c r="Z149" i="2" s="1"/>
  <c r="AB149" i="2" s="1"/>
  <c r="AD150" i="2"/>
  <c r="Z150" i="2" s="1"/>
  <c r="AB150" i="2" s="1"/>
  <c r="AD151" i="2"/>
  <c r="Z151" i="2" s="1"/>
  <c r="AA151" i="2" s="1"/>
  <c r="AD152" i="2"/>
  <c r="Z152" i="2" s="1"/>
  <c r="AB152" i="2" s="1"/>
  <c r="AD153" i="2"/>
  <c r="Z153" i="2" s="1"/>
  <c r="AB153" i="2" s="1"/>
  <c r="AD154" i="2"/>
  <c r="AD155" i="2"/>
  <c r="Z155" i="2" s="1"/>
  <c r="AA155" i="2" s="1"/>
  <c r="AD156" i="2"/>
  <c r="Z156" i="2" s="1"/>
  <c r="AA156" i="2" s="1"/>
  <c r="AD157" i="2"/>
  <c r="Z157" i="2" s="1"/>
  <c r="AA157" i="2" s="1"/>
  <c r="AD158" i="2"/>
  <c r="Z158" i="2" s="1"/>
  <c r="AA158" i="2" s="1"/>
  <c r="AD159" i="2"/>
  <c r="Z159" i="2" s="1"/>
  <c r="AA159" i="2" s="1"/>
  <c r="AD160" i="2"/>
  <c r="Z160" i="2" s="1"/>
  <c r="AA160" i="2" s="1"/>
  <c r="AD161" i="2"/>
  <c r="Z161" i="2" s="1"/>
  <c r="AA161" i="2" s="1"/>
  <c r="AD162" i="2"/>
  <c r="AD163" i="2"/>
  <c r="Z163" i="2" s="1"/>
  <c r="AA163" i="2" s="1"/>
  <c r="AD164" i="2"/>
  <c r="Z164" i="2" s="1"/>
  <c r="AA164" i="2" s="1"/>
  <c r="AD165" i="2"/>
  <c r="Z165" i="2" s="1"/>
  <c r="AA165" i="2" s="1"/>
  <c r="AD166" i="2"/>
  <c r="Z166" i="2" s="1"/>
  <c r="AA166" i="2" s="1"/>
  <c r="AD167" i="2"/>
  <c r="Z167" i="2" s="1"/>
  <c r="AB167" i="2" s="1"/>
  <c r="AD168" i="2"/>
  <c r="Z168" i="2" s="1"/>
  <c r="AA168" i="2" s="1"/>
  <c r="AD169" i="2"/>
  <c r="Z169" i="2" s="1"/>
  <c r="AA169" i="2" s="1"/>
  <c r="AD170" i="2"/>
  <c r="AD171" i="2"/>
  <c r="Z171" i="2" s="1"/>
  <c r="AA171" i="2" s="1"/>
  <c r="AD172" i="2"/>
  <c r="Z172" i="2" s="1"/>
  <c r="AA172" i="2" s="1"/>
  <c r="AD173" i="2"/>
  <c r="Z173" i="2" s="1"/>
  <c r="AB173" i="2" s="1"/>
  <c r="AD174" i="2"/>
  <c r="Z174" i="2" s="1"/>
  <c r="AB174" i="2" s="1"/>
  <c r="AD175" i="2"/>
  <c r="Z175" i="2" s="1"/>
  <c r="AB175" i="2" s="1"/>
  <c r="AD176" i="2"/>
  <c r="Z176" i="2" s="1"/>
  <c r="AA176" i="2" s="1"/>
  <c r="AD177" i="2"/>
  <c r="Z177" i="2" s="1"/>
  <c r="AA177" i="2" s="1"/>
  <c r="AD178" i="2"/>
  <c r="AD179" i="2"/>
  <c r="Z179" i="2" s="1"/>
  <c r="AA179" i="2" s="1"/>
  <c r="AD180" i="2"/>
  <c r="Z180" i="2" s="1"/>
  <c r="AB180" i="2" s="1"/>
  <c r="AD181" i="2"/>
  <c r="Z181" i="2" s="1"/>
  <c r="AB181" i="2" s="1"/>
  <c r="AD182" i="2"/>
  <c r="Z182" i="2" s="1"/>
  <c r="AB182" i="2" s="1"/>
  <c r="AD183" i="2"/>
  <c r="Z183" i="2" s="1"/>
  <c r="AB183" i="2" s="1"/>
  <c r="AD184" i="2"/>
  <c r="Z184" i="2" s="1"/>
  <c r="AB184" i="2" s="1"/>
  <c r="AD185" i="2"/>
  <c r="Z185" i="2" s="1"/>
  <c r="AB185" i="2" s="1"/>
  <c r="AD186" i="2"/>
  <c r="AD187" i="2"/>
  <c r="Z187" i="2" s="1"/>
  <c r="AB187" i="2" s="1"/>
  <c r="AD188" i="2"/>
  <c r="Z188" i="2" s="1"/>
  <c r="AB188" i="2" s="1"/>
  <c r="AD189" i="2"/>
  <c r="Z189" i="2" s="1"/>
  <c r="AA189" i="2" s="1"/>
  <c r="AD190" i="2"/>
  <c r="Z190" i="2" s="1"/>
  <c r="AB190" i="2" s="1"/>
  <c r="AD191" i="2"/>
  <c r="Z191" i="2" s="1"/>
  <c r="AA191" i="2" s="1"/>
  <c r="AD192" i="2"/>
  <c r="Z192" i="2" s="1"/>
  <c r="AA192" i="2" s="1"/>
  <c r="AD193" i="2"/>
  <c r="Z193" i="2" s="1"/>
  <c r="AB193" i="2" s="1"/>
  <c r="AD194" i="2"/>
  <c r="AD121" i="2"/>
  <c r="Z121" i="2" s="1"/>
  <c r="AA122" i="2"/>
  <c r="AF122" i="2" s="1"/>
  <c r="AA123" i="2"/>
  <c r="AF123" i="2" s="1"/>
  <c r="AB124" i="2"/>
  <c r="AG124" i="2" s="1"/>
  <c r="AA125" i="2"/>
  <c r="AF125" i="2" s="1"/>
  <c r="AB126" i="2"/>
  <c r="AG126" i="2" s="1"/>
  <c r="AB127" i="2"/>
  <c r="AG127" i="2" s="1"/>
  <c r="AA128" i="2"/>
  <c r="AF128" i="2" s="1"/>
  <c r="AA129" i="2"/>
  <c r="AF129" i="2" s="1"/>
  <c r="Z130" i="2"/>
  <c r="AB130" i="2" s="1"/>
  <c r="AA130" i="2"/>
  <c r="AF130" i="2" s="1"/>
  <c r="AA131" i="2"/>
  <c r="AF131" i="2" s="1"/>
  <c r="AB132" i="2"/>
  <c r="AG132" i="2" s="1"/>
  <c r="AB133" i="2"/>
  <c r="AG133" i="2" s="1"/>
  <c r="Z134" i="2"/>
  <c r="AA134" i="2" s="1"/>
  <c r="AB134" i="2"/>
  <c r="AG134" i="2" s="1"/>
  <c r="AA135" i="2"/>
  <c r="AF135" i="2" s="1"/>
  <c r="AA136" i="2"/>
  <c r="AF136" i="2" s="1"/>
  <c r="AB137" i="2"/>
  <c r="AG137" i="2" s="1"/>
  <c r="Z138" i="2"/>
  <c r="AB138" i="2" s="1"/>
  <c r="AA138" i="2"/>
  <c r="AF138" i="2" s="1"/>
  <c r="AA139" i="2"/>
  <c r="AF139" i="2" s="1"/>
  <c r="AA140" i="2"/>
  <c r="AF140" i="2" s="1"/>
  <c r="AB141" i="2"/>
  <c r="AG141" i="2" s="1"/>
  <c r="AB142" i="2"/>
  <c r="AG142" i="2" s="1"/>
  <c r="AB143" i="2"/>
  <c r="AG143" i="2" s="1"/>
  <c r="AB144" i="2"/>
  <c r="AG144" i="2" s="1"/>
  <c r="AB145" i="2"/>
  <c r="AG145" i="2" s="1"/>
  <c r="Z146" i="2"/>
  <c r="AB146" i="2" s="1"/>
  <c r="AA146" i="2"/>
  <c r="AF146" i="2" s="1"/>
  <c r="AA147" i="2"/>
  <c r="AF147" i="2" s="1"/>
  <c r="AB148" i="2"/>
  <c r="AA149" i="2"/>
  <c r="AF149" i="2" s="1"/>
  <c r="AA150" i="2"/>
  <c r="AF150" i="2" s="1"/>
  <c r="AB151" i="2"/>
  <c r="AG151" i="2" s="1"/>
  <c r="AA152" i="2"/>
  <c r="AF152" i="2" s="1"/>
  <c r="AA153" i="2"/>
  <c r="AF153" i="2" s="1"/>
  <c r="Z154" i="2"/>
  <c r="AB154" i="2" s="1"/>
  <c r="AA154" i="2"/>
  <c r="AF154" i="2" s="1"/>
  <c r="AB155" i="2"/>
  <c r="AG155" i="2" s="1"/>
  <c r="AB156" i="2"/>
  <c r="AG156" i="2" s="1"/>
  <c r="AB157" i="2"/>
  <c r="AG157" i="2" s="1"/>
  <c r="AB158" i="2"/>
  <c r="AG158" i="2" s="1"/>
  <c r="AB159" i="2"/>
  <c r="AG159" i="2" s="1"/>
  <c r="AB160" i="2"/>
  <c r="AG160" i="2" s="1"/>
  <c r="AB161" i="2"/>
  <c r="AG161" i="2" s="1"/>
  <c r="Z162" i="2"/>
  <c r="AA162" i="2" s="1"/>
  <c r="AB162" i="2"/>
  <c r="AG162" i="2" s="1"/>
  <c r="AB163" i="2"/>
  <c r="AG163" i="2" s="1"/>
  <c r="AB164" i="2"/>
  <c r="AG164" i="2" s="1"/>
  <c r="AB165" i="2"/>
  <c r="AG165" i="2" s="1"/>
  <c r="AB166" i="2"/>
  <c r="AG166" i="2" s="1"/>
  <c r="AA167" i="2"/>
  <c r="AF167" i="2" s="1"/>
  <c r="AB168" i="2"/>
  <c r="AG168" i="2" s="1"/>
  <c r="AB169" i="2"/>
  <c r="AG169" i="2" s="1"/>
  <c r="Z170" i="2"/>
  <c r="AA170" i="2" s="1"/>
  <c r="AB170" i="2"/>
  <c r="AG170" i="2" s="1"/>
  <c r="AB171" i="2"/>
  <c r="AG171" i="2" s="1"/>
  <c r="AB172" i="2"/>
  <c r="AG172" i="2" s="1"/>
  <c r="AA173" i="2"/>
  <c r="AF173" i="2" s="1"/>
  <c r="AA174" i="2"/>
  <c r="AF174" i="2" s="1"/>
  <c r="AA175" i="2"/>
  <c r="AF175" i="2" s="1"/>
  <c r="AB176" i="2"/>
  <c r="AG176" i="2" s="1"/>
  <c r="AB177" i="2"/>
  <c r="AG177" i="2" s="1"/>
  <c r="Z178" i="2"/>
  <c r="AA178" i="2" s="1"/>
  <c r="AB178" i="2"/>
  <c r="AG178" i="2" s="1"/>
  <c r="AB179" i="2"/>
  <c r="AG179" i="2" s="1"/>
  <c r="AA180" i="2"/>
  <c r="AF180" i="2" s="1"/>
  <c r="AA181" i="2"/>
  <c r="AF181" i="2" s="1"/>
  <c r="AA182" i="2"/>
  <c r="AF182" i="2" s="1"/>
  <c r="AA183" i="2"/>
  <c r="AF183" i="2" s="1"/>
  <c r="AA184" i="2"/>
  <c r="AF184" i="2" s="1"/>
  <c r="AA185" i="2"/>
  <c r="AF185" i="2" s="1"/>
  <c r="Z186" i="2"/>
  <c r="AA186" i="2" s="1"/>
  <c r="AB186" i="2"/>
  <c r="AG186" i="2" s="1"/>
  <c r="AA187" i="2"/>
  <c r="AF187" i="2" s="1"/>
  <c r="AA188" i="2"/>
  <c r="AF188" i="2" s="1"/>
  <c r="AB189" i="2"/>
  <c r="AG189" i="2" s="1"/>
  <c r="AA190" i="2"/>
  <c r="AF190" i="2" s="1"/>
  <c r="AB191" i="2"/>
  <c r="AG191" i="2" s="1"/>
  <c r="AB192" i="2"/>
  <c r="AG192" i="2" s="1"/>
  <c r="AA193" i="2"/>
  <c r="AF193" i="2" s="1"/>
  <c r="Z194" i="2"/>
  <c r="AB194" i="2" s="1"/>
  <c r="AA194" i="2"/>
  <c r="AF194" i="2" s="1"/>
  <c r="AB121" i="2"/>
  <c r="AG121" i="2" s="1"/>
  <c r="U118" i="2"/>
  <c r="U119" i="2"/>
  <c r="U120" i="2"/>
  <c r="U234" i="2"/>
  <c r="AD247" i="2"/>
  <c r="Z247" i="2" s="1"/>
  <c r="AD246" i="2"/>
  <c r="AD245" i="2"/>
  <c r="Z245" i="2" s="1"/>
  <c r="AD244" i="2"/>
  <c r="AD243" i="2"/>
  <c r="Z243" i="2" s="1"/>
  <c r="AD242" i="2"/>
  <c r="AD241" i="2"/>
  <c r="Z241" i="2" s="1"/>
  <c r="AD240" i="2"/>
  <c r="AD239" i="2"/>
  <c r="Z239" i="2" s="1"/>
  <c r="AD238" i="2"/>
  <c r="AD237" i="2"/>
  <c r="Z237" i="2" s="1"/>
  <c r="AD236" i="2"/>
  <c r="AD235" i="2"/>
  <c r="Z235" i="2" s="1"/>
  <c r="AD218" i="2"/>
  <c r="Z218" i="2" s="1"/>
  <c r="U215" i="2"/>
  <c r="AD217" i="2"/>
  <c r="Z217" i="2" s="1"/>
  <c r="AD219" i="2"/>
  <c r="Z219" i="2" s="1"/>
  <c r="AD220" i="2"/>
  <c r="Z220" i="2" s="1"/>
  <c r="AD221" i="2"/>
  <c r="Z221" i="2" s="1"/>
  <c r="AD222" i="2"/>
  <c r="Z222" i="2" s="1"/>
  <c r="AD223" i="2"/>
  <c r="Z223" i="2" s="1"/>
  <c r="AD224" i="2"/>
  <c r="Z224" i="2" s="1"/>
  <c r="AD225" i="2"/>
  <c r="Z225" i="2" s="1"/>
  <c r="AD226" i="2"/>
  <c r="Z226" i="2" s="1"/>
  <c r="AD227" i="2"/>
  <c r="Z227" i="2" s="1"/>
  <c r="AD228" i="2"/>
  <c r="Z228" i="2" s="1"/>
  <c r="AD229" i="2"/>
  <c r="AD216" i="2"/>
  <c r="Z216" i="2" s="1"/>
  <c r="A3" i="7"/>
  <c r="B3" i="7"/>
  <c r="A4" i="7"/>
  <c r="B4" i="7"/>
  <c r="A5" i="7"/>
  <c r="B5" i="7"/>
  <c r="A6" i="7"/>
  <c r="B6" i="7"/>
  <c r="A7" i="7"/>
  <c r="B7" i="7"/>
  <c r="A8" i="7"/>
  <c r="B8" i="7"/>
  <c r="A9" i="7"/>
  <c r="B9" i="7"/>
  <c r="A10" i="7"/>
  <c r="B10" i="7"/>
  <c r="A11" i="7"/>
  <c r="B11" i="7"/>
  <c r="A12" i="7"/>
  <c r="B12" i="7"/>
  <c r="A13" i="7"/>
  <c r="B13" i="7"/>
  <c r="A14" i="7"/>
  <c r="B14" i="7"/>
  <c r="A15" i="7"/>
  <c r="B15" i="7"/>
  <c r="A16" i="7"/>
  <c r="B16" i="7"/>
  <c r="A17" i="7"/>
  <c r="B17" i="7"/>
  <c r="A18" i="7"/>
  <c r="B18" i="7"/>
  <c r="A19" i="7"/>
  <c r="B19" i="7"/>
  <c r="A20" i="7"/>
  <c r="B20" i="7"/>
  <c r="A21" i="7"/>
  <c r="B21" i="7"/>
  <c r="A22" i="7"/>
  <c r="B22" i="7"/>
  <c r="A23" i="7"/>
  <c r="B23" i="7"/>
  <c r="A24" i="7"/>
  <c r="B24" i="7"/>
  <c r="A25" i="7"/>
  <c r="B25" i="7"/>
  <c r="A26" i="7"/>
  <c r="B26" i="7"/>
  <c r="A27" i="7"/>
  <c r="B27" i="7"/>
  <c r="A28" i="7"/>
  <c r="B28" i="7"/>
  <c r="A29" i="7"/>
  <c r="B29" i="7"/>
  <c r="A30" i="7"/>
  <c r="B30" i="7"/>
  <c r="A31" i="7"/>
  <c r="B31" i="7"/>
  <c r="A32" i="7"/>
  <c r="B32" i="7"/>
  <c r="A33" i="7"/>
  <c r="B33" i="7"/>
  <c r="A34" i="7"/>
  <c r="B34" i="7"/>
  <c r="A35" i="7"/>
  <c r="B35" i="7"/>
  <c r="A36" i="7"/>
  <c r="B36" i="7"/>
  <c r="A37" i="7"/>
  <c r="B37" i="7"/>
  <c r="A38" i="7"/>
  <c r="B38" i="7"/>
  <c r="A39" i="7"/>
  <c r="B39" i="7"/>
  <c r="A40" i="7"/>
  <c r="B40" i="7"/>
  <c r="A41" i="7"/>
  <c r="B41" i="7"/>
  <c r="A42" i="7"/>
  <c r="B42" i="7"/>
  <c r="A43" i="7"/>
  <c r="B43" i="7"/>
  <c r="A44" i="7"/>
  <c r="B44" i="7"/>
  <c r="A45" i="7"/>
  <c r="B45" i="7"/>
  <c r="A46" i="7"/>
  <c r="B46" i="7"/>
  <c r="A47" i="7"/>
  <c r="B47" i="7"/>
  <c r="A48" i="7"/>
  <c r="B48" i="7"/>
  <c r="A49" i="7"/>
  <c r="B49" i="7"/>
  <c r="A50" i="7"/>
  <c r="B50" i="7"/>
  <c r="A51" i="7"/>
  <c r="B51" i="7"/>
  <c r="A52" i="7"/>
  <c r="B52" i="7"/>
  <c r="A53" i="7"/>
  <c r="B53" i="7"/>
  <c r="A54" i="7"/>
  <c r="B54" i="7"/>
  <c r="A55" i="7"/>
  <c r="B55" i="7"/>
  <c r="A56" i="7"/>
  <c r="B56" i="7"/>
  <c r="A57" i="7"/>
  <c r="B57" i="7"/>
  <c r="A58" i="7"/>
  <c r="B58" i="7"/>
  <c r="A59" i="7"/>
  <c r="B59" i="7"/>
  <c r="A60" i="7"/>
  <c r="B60" i="7"/>
  <c r="A61" i="7"/>
  <c r="B61" i="7"/>
  <c r="A62" i="7"/>
  <c r="B62" i="7"/>
  <c r="A63" i="7"/>
  <c r="B63" i="7"/>
  <c r="A64" i="7"/>
  <c r="B64" i="7"/>
  <c r="A65" i="7"/>
  <c r="B65" i="7"/>
  <c r="A66" i="7"/>
  <c r="B66" i="7"/>
  <c r="A67" i="7"/>
  <c r="B67" i="7"/>
  <c r="A68" i="7"/>
  <c r="B68" i="7"/>
  <c r="A69" i="7"/>
  <c r="B69" i="7"/>
  <c r="A70" i="7"/>
  <c r="B70" i="7"/>
  <c r="A71" i="7"/>
  <c r="B71" i="7"/>
  <c r="A72" i="7"/>
  <c r="B72" i="7"/>
  <c r="A73" i="7"/>
  <c r="B73" i="7"/>
  <c r="A74" i="7"/>
  <c r="B74" i="7"/>
  <c r="A75" i="7"/>
  <c r="B75" i="7"/>
  <c r="A76" i="7"/>
  <c r="B76" i="7"/>
  <c r="A77" i="7"/>
  <c r="B77" i="7"/>
  <c r="A78" i="7"/>
  <c r="B78" i="7"/>
  <c r="A79" i="7"/>
  <c r="B79" i="7"/>
  <c r="A80" i="7"/>
  <c r="B80" i="7"/>
  <c r="A81" i="7"/>
  <c r="B81" i="7"/>
  <c r="A82" i="7"/>
  <c r="B82" i="7"/>
  <c r="A83" i="7"/>
  <c r="B83" i="7"/>
  <c r="A84" i="7"/>
  <c r="B84" i="7"/>
  <c r="A85" i="7"/>
  <c r="B85" i="7"/>
  <c r="A86" i="7"/>
  <c r="B86" i="7"/>
  <c r="A87" i="7"/>
  <c r="B87" i="7"/>
  <c r="A88" i="7"/>
  <c r="B88" i="7"/>
  <c r="A89" i="7"/>
  <c r="B89" i="7"/>
  <c r="A90" i="7"/>
  <c r="B90" i="7"/>
  <c r="A91" i="7"/>
  <c r="B91" i="7"/>
  <c r="A92" i="7"/>
  <c r="B92" i="7"/>
  <c r="A93" i="7"/>
  <c r="B93" i="7"/>
  <c r="A94" i="7"/>
  <c r="B94" i="7"/>
  <c r="A95" i="7"/>
  <c r="B95" i="7"/>
  <c r="A96" i="7"/>
  <c r="B96" i="7"/>
  <c r="A97" i="7"/>
  <c r="B97" i="7"/>
  <c r="A98" i="7"/>
  <c r="B98" i="7"/>
  <c r="A99" i="7"/>
  <c r="B99" i="7"/>
  <c r="A100" i="7"/>
  <c r="B100" i="7"/>
  <c r="A101" i="7"/>
  <c r="B101" i="7"/>
  <c r="A102" i="7"/>
  <c r="B102" i="7"/>
  <c r="A103" i="7"/>
  <c r="B103" i="7"/>
  <c r="A104" i="7"/>
  <c r="B104" i="7"/>
  <c r="A105" i="7"/>
  <c r="B105" i="7"/>
  <c r="A106" i="7"/>
  <c r="B106" i="7"/>
  <c r="A107" i="7"/>
  <c r="B107" i="7"/>
  <c r="A108" i="7"/>
  <c r="B108" i="7"/>
  <c r="A109" i="7"/>
  <c r="B109" i="7"/>
  <c r="A110" i="7"/>
  <c r="B110" i="7"/>
  <c r="A111" i="7"/>
  <c r="B111" i="7"/>
  <c r="A112" i="7"/>
  <c r="B112" i="7"/>
  <c r="A113" i="7"/>
  <c r="B113" i="7"/>
  <c r="A114" i="7"/>
  <c r="B114" i="7"/>
  <c r="A115" i="7"/>
  <c r="B115" i="7"/>
  <c r="A116" i="7"/>
  <c r="B116" i="7"/>
  <c r="A117" i="7"/>
  <c r="B117" i="7"/>
  <c r="A118" i="7"/>
  <c r="B118" i="7"/>
  <c r="A119" i="7"/>
  <c r="B119" i="7"/>
  <c r="A120" i="7"/>
  <c r="B120" i="7"/>
  <c r="A121" i="7"/>
  <c r="B121" i="7"/>
  <c r="A122" i="7"/>
  <c r="B122" i="7"/>
  <c r="A123" i="7"/>
  <c r="B123" i="7"/>
  <c r="A124" i="7"/>
  <c r="B124" i="7"/>
  <c r="A125" i="7"/>
  <c r="B125" i="7"/>
  <c r="A126" i="7"/>
  <c r="B126" i="7"/>
  <c r="A127" i="7"/>
  <c r="B127" i="7"/>
  <c r="A128" i="7"/>
  <c r="B128" i="7"/>
  <c r="A129" i="7"/>
  <c r="B129" i="7"/>
  <c r="A130" i="7"/>
  <c r="B130" i="7"/>
  <c r="A131" i="7"/>
  <c r="B131" i="7"/>
  <c r="A132" i="7"/>
  <c r="B132" i="7"/>
  <c r="A133" i="7"/>
  <c r="B133" i="7"/>
  <c r="A134" i="7"/>
  <c r="B134" i="7"/>
  <c r="A135" i="7"/>
  <c r="B135" i="7"/>
  <c r="A136" i="7"/>
  <c r="B136" i="7"/>
  <c r="A137" i="7"/>
  <c r="B137" i="7"/>
  <c r="A138" i="7"/>
  <c r="B138" i="7"/>
  <c r="A139" i="7"/>
  <c r="B139" i="7"/>
  <c r="A140" i="7"/>
  <c r="B140" i="7"/>
  <c r="A141" i="7"/>
  <c r="B141" i="7"/>
  <c r="A142" i="7"/>
  <c r="B142" i="7"/>
  <c r="A143" i="7"/>
  <c r="B143" i="7"/>
  <c r="A144" i="7"/>
  <c r="B144" i="7"/>
  <c r="A145" i="7"/>
  <c r="B145" i="7"/>
  <c r="A146" i="7"/>
  <c r="B146" i="7"/>
  <c r="A147" i="7"/>
  <c r="B147" i="7"/>
  <c r="A148" i="7"/>
  <c r="B148" i="7"/>
  <c r="A149" i="7"/>
  <c r="B149" i="7"/>
  <c r="A150" i="7"/>
  <c r="B150" i="7"/>
  <c r="A151" i="7"/>
  <c r="B151" i="7"/>
  <c r="B2" i="7"/>
  <c r="A2" i="7"/>
  <c r="W18" i="2"/>
  <c r="AG187" i="2" l="1"/>
  <c r="AG129" i="2"/>
  <c r="AG147" i="2"/>
  <c r="AG139" i="2"/>
  <c r="AG131" i="2"/>
  <c r="AG123" i="2"/>
  <c r="AA148" i="2"/>
  <c r="AE194" i="2"/>
  <c r="AE127" i="2"/>
  <c r="AE135" i="2"/>
  <c r="AE143" i="2"/>
  <c r="AE151" i="2"/>
  <c r="AE159" i="2"/>
  <c r="AE167" i="2"/>
  <c r="AE175" i="2"/>
  <c r="AE183" i="2"/>
  <c r="AE191" i="2"/>
  <c r="AE122" i="2"/>
  <c r="AE130" i="2"/>
  <c r="AE138" i="2"/>
  <c r="AE146" i="2"/>
  <c r="AE154" i="2"/>
  <c r="AE162" i="2"/>
  <c r="AE170" i="2"/>
  <c r="AE178" i="2"/>
  <c r="AE186" i="2"/>
  <c r="AE193" i="2"/>
  <c r="AE125" i="2"/>
  <c r="AE133" i="2"/>
  <c r="AE141" i="2"/>
  <c r="AE149" i="2"/>
  <c r="AE157" i="2"/>
  <c r="AE165" i="2"/>
  <c r="AE173" i="2"/>
  <c r="AE181" i="2"/>
  <c r="AE189" i="2"/>
  <c r="AE137" i="2"/>
  <c r="AE145" i="2"/>
  <c r="AE128" i="2"/>
  <c r="AE136" i="2"/>
  <c r="AE144" i="2"/>
  <c r="AE152" i="2"/>
  <c r="AE160" i="2"/>
  <c r="AE168" i="2"/>
  <c r="AE176" i="2"/>
  <c r="AE184" i="2"/>
  <c r="AE192" i="2"/>
  <c r="AE161" i="2"/>
  <c r="AE123" i="2"/>
  <c r="AE131" i="2"/>
  <c r="AE139" i="2"/>
  <c r="AE147" i="2"/>
  <c r="AE155" i="2"/>
  <c r="AE163" i="2"/>
  <c r="AE171" i="2"/>
  <c r="AE179" i="2"/>
  <c r="AE187" i="2"/>
  <c r="AE129" i="2"/>
  <c r="AE169" i="2"/>
  <c r="AE126" i="2"/>
  <c r="AE134" i="2"/>
  <c r="AE142" i="2"/>
  <c r="AE150" i="2"/>
  <c r="AE158" i="2"/>
  <c r="AE166" i="2"/>
  <c r="AE174" i="2"/>
  <c r="AE182" i="2"/>
  <c r="AE190" i="2"/>
  <c r="AE121" i="2"/>
  <c r="AE153" i="2"/>
  <c r="AE185" i="2"/>
  <c r="AE124" i="2"/>
  <c r="AE132" i="2"/>
  <c r="AE140" i="2"/>
  <c r="AE148" i="2"/>
  <c r="AE156" i="2"/>
  <c r="AE164" i="2"/>
  <c r="AE172" i="2"/>
  <c r="AE180" i="2"/>
  <c r="AE188" i="2"/>
  <c r="AE177" i="2"/>
  <c r="AG190" i="2"/>
  <c r="AG182" i="2"/>
  <c r="AG174" i="2"/>
  <c r="AG150" i="2"/>
  <c r="AG184" i="2"/>
  <c r="AG152" i="2"/>
  <c r="AG136" i="2"/>
  <c r="AG128" i="2"/>
  <c r="AG181" i="2"/>
  <c r="AG173" i="2"/>
  <c r="AG149" i="2"/>
  <c r="AG125" i="2"/>
  <c r="AG154" i="2"/>
  <c r="AG146" i="2"/>
  <c r="AG138" i="2"/>
  <c r="AG130" i="2"/>
  <c r="AG122" i="2"/>
  <c r="AG194" i="2"/>
  <c r="AG183" i="2"/>
  <c r="AG175" i="2"/>
  <c r="AG167" i="2"/>
  <c r="AG135" i="2"/>
  <c r="AG188" i="2"/>
  <c r="AG180" i="2"/>
  <c r="AG148" i="2"/>
  <c r="AG140" i="2"/>
  <c r="AG193" i="2"/>
  <c r="AG185" i="2"/>
  <c r="AG153" i="2"/>
  <c r="AA121" i="2"/>
  <c r="Z236" i="2"/>
  <c r="Z238" i="2"/>
  <c r="Z240" i="2"/>
  <c r="Z242" i="2"/>
  <c r="Z244" i="2"/>
  <c r="AB244" i="2" s="1"/>
  <c r="Z246" i="2"/>
  <c r="AB219" i="2"/>
  <c r="AB227" i="2"/>
  <c r="AB225" i="2"/>
  <c r="AB220" i="2"/>
  <c r="AB228" i="2"/>
  <c r="AB221" i="2"/>
  <c r="AB216" i="2"/>
  <c r="AB222" i="2"/>
  <c r="AB223" i="2"/>
  <c r="AB224" i="2"/>
  <c r="AB218" i="2"/>
  <c r="AB217" i="2"/>
  <c r="AB226" i="2"/>
  <c r="G51" i="4"/>
  <c r="AB242" i="2" l="1"/>
  <c r="AB240" i="2"/>
  <c r="AB245" i="2"/>
  <c r="AB238" i="2"/>
  <c r="AB239" i="2"/>
  <c r="AB236" i="2"/>
  <c r="AB247" i="2"/>
  <c r="AB237" i="2"/>
  <c r="AB243" i="2"/>
  <c r="AB235" i="2"/>
  <c r="AB246" i="2"/>
  <c r="AB241" i="2"/>
  <c r="AF124" i="2"/>
  <c r="AF132" i="2"/>
  <c r="AF148" i="2"/>
  <c r="AF156" i="2"/>
  <c r="AF164" i="2"/>
  <c r="AF172" i="2"/>
  <c r="AF158" i="2"/>
  <c r="AF127" i="2"/>
  <c r="AF143" i="2"/>
  <c r="AF151" i="2"/>
  <c r="AF159" i="2"/>
  <c r="AF191" i="2"/>
  <c r="AF134" i="2"/>
  <c r="AF162" i="2"/>
  <c r="AF170" i="2"/>
  <c r="AF178" i="2"/>
  <c r="AF186" i="2"/>
  <c r="AF133" i="2"/>
  <c r="AF141" i="2"/>
  <c r="AF157" i="2"/>
  <c r="AF165" i="2"/>
  <c r="AF189" i="2"/>
  <c r="AF144" i="2"/>
  <c r="AF160" i="2"/>
  <c r="AF168" i="2"/>
  <c r="AF176" i="2"/>
  <c r="AF192" i="2"/>
  <c r="AF121" i="2"/>
  <c r="AF155" i="2"/>
  <c r="AF163" i="2"/>
  <c r="AF171" i="2"/>
  <c r="AF179" i="2"/>
  <c r="AF126" i="2"/>
  <c r="AF142" i="2"/>
  <c r="AF166" i="2"/>
  <c r="AF137" i="2"/>
  <c r="AF145" i="2"/>
  <c r="AF161" i="2"/>
  <c r="AF169" i="2"/>
  <c r="AF177" i="2"/>
  <c r="AH116" i="2"/>
  <c r="AI116" i="2" s="1"/>
  <c r="AC214" i="2"/>
  <c r="C1" i="6"/>
  <c r="AC233" i="2" l="1"/>
  <c r="AD233" i="2" s="1"/>
  <c r="AH115" i="2"/>
  <c r="AI115" i="2" s="1"/>
  <c r="AD214" i="2"/>
  <c r="AD213" i="2"/>
  <c r="A77" i="2"/>
  <c r="AD232" i="2" l="1"/>
  <c r="AC235" i="2" s="1"/>
  <c r="U235" i="2" s="1"/>
  <c r="AC216" i="2"/>
  <c r="U216" i="2" s="1"/>
  <c r="AI114" i="2"/>
  <c r="AH129" i="2" s="1"/>
  <c r="U129" i="2" s="1"/>
  <c r="AH153" i="2"/>
  <c r="U153" i="2" s="1"/>
  <c r="AH152" i="2"/>
  <c r="U152" i="2" s="1"/>
  <c r="AH128" i="2"/>
  <c r="U128" i="2" s="1"/>
  <c r="AH148" i="2"/>
  <c r="U148" i="2" s="1"/>
  <c r="AH154" i="2"/>
  <c r="U154" i="2" s="1"/>
  <c r="AH127" i="2"/>
  <c r="U127" i="2" s="1"/>
  <c r="AH141" i="2"/>
  <c r="U141" i="2" s="1"/>
  <c r="AH147" i="2"/>
  <c r="U147" i="2" s="1"/>
  <c r="AH194" i="2"/>
  <c r="U194" i="2" s="1"/>
  <c r="AH190" i="2"/>
  <c r="U190" i="2" s="1"/>
  <c r="AH140" i="2"/>
  <c r="U140" i="2" s="1"/>
  <c r="AH188" i="2"/>
  <c r="U188" i="2" s="1"/>
  <c r="AH175" i="2"/>
  <c r="U175" i="2" s="1"/>
  <c r="AH182" i="2"/>
  <c r="U182" i="2" s="1"/>
  <c r="AH189" i="2"/>
  <c r="U189" i="2" s="1"/>
  <c r="AH132" i="2"/>
  <c r="U132" i="2" s="1"/>
  <c r="AH139" i="2"/>
  <c r="U139" i="2" s="1"/>
  <c r="AH150" i="2"/>
  <c r="U150" i="2" s="1"/>
  <c r="AH167" i="2"/>
  <c r="U167" i="2" s="1"/>
  <c r="AH174" i="2"/>
  <c r="U174" i="2" s="1"/>
  <c r="AH158" i="2"/>
  <c r="U158" i="2" s="1"/>
  <c r="AH166" i="2"/>
  <c r="U166" i="2" s="1"/>
  <c r="AH173" i="2"/>
  <c r="U173" i="2" s="1"/>
  <c r="AH180" i="2"/>
  <c r="U180" i="2" s="1"/>
  <c r="AH131" i="2"/>
  <c r="U131" i="2" s="1"/>
  <c r="AH146" i="2"/>
  <c r="U146" i="2" s="1"/>
  <c r="AH187" i="2"/>
  <c r="U187" i="2" s="1"/>
  <c r="AH179" i="2"/>
  <c r="U179" i="2" s="1"/>
  <c r="AC220" i="2"/>
  <c r="U220" i="2" s="1"/>
  <c r="AC228" i="2"/>
  <c r="U228" i="2" s="1"/>
  <c r="AC226" i="2"/>
  <c r="U226" i="2" s="1"/>
  <c r="AC221" i="2"/>
  <c r="U221" i="2" s="1"/>
  <c r="AC218" i="2"/>
  <c r="U218" i="2" s="1"/>
  <c r="AC222" i="2"/>
  <c r="U222" i="2" s="1"/>
  <c r="AC223" i="2"/>
  <c r="U223" i="2" s="1"/>
  <c r="AC224" i="2"/>
  <c r="U224" i="2" s="1"/>
  <c r="AC217" i="2"/>
  <c r="U217" i="2" s="1"/>
  <c r="AC225" i="2"/>
  <c r="U225" i="2" s="1"/>
  <c r="AC219" i="2"/>
  <c r="U219" i="2" s="1"/>
  <c r="AC227" i="2"/>
  <c r="U227" i="2" s="1"/>
  <c r="C31" i="4"/>
  <c r="AH171" i="2" l="1"/>
  <c r="U171" i="2" s="1"/>
  <c r="AH176" i="2"/>
  <c r="U176" i="2" s="1"/>
  <c r="AH178" i="2"/>
  <c r="U178" i="2" s="1"/>
  <c r="AH157" i="2"/>
  <c r="U157" i="2" s="1"/>
  <c r="AH159" i="2"/>
  <c r="U159" i="2" s="1"/>
  <c r="AH164" i="2"/>
  <c r="U164" i="2" s="1"/>
  <c r="AH155" i="2"/>
  <c r="U155" i="2" s="1"/>
  <c r="AH151" i="2"/>
  <c r="U151" i="2" s="1"/>
  <c r="AH137" i="2"/>
  <c r="U137" i="2" s="1"/>
  <c r="AH142" i="2"/>
  <c r="U142" i="2" s="1"/>
  <c r="AH133" i="2"/>
  <c r="U133" i="2" s="1"/>
  <c r="AH122" i="2"/>
  <c r="U122" i="2" s="1"/>
  <c r="AH124" i="2"/>
  <c r="U124" i="2" s="1"/>
  <c r="AC237" i="2"/>
  <c r="U237" i="2" s="1"/>
  <c r="AC238" i="2"/>
  <c r="U238" i="2" s="1"/>
  <c r="AC245" i="2"/>
  <c r="U245" i="2" s="1"/>
  <c r="AC242" i="2"/>
  <c r="U242" i="2" s="1"/>
  <c r="AC243" i="2"/>
  <c r="U243" i="2" s="1"/>
  <c r="AC244" i="2"/>
  <c r="U244" i="2" s="1"/>
  <c r="AC240" i="2"/>
  <c r="U240" i="2" s="1"/>
  <c r="AC246" i="2"/>
  <c r="U246" i="2" s="1"/>
  <c r="AC247" i="2"/>
  <c r="U247" i="2" s="1"/>
  <c r="AC239" i="2"/>
  <c r="U239" i="2" s="1"/>
  <c r="AH177" i="2"/>
  <c r="U177" i="2" s="1"/>
  <c r="AH145" i="2"/>
  <c r="U145" i="2" s="1"/>
  <c r="AH165" i="2"/>
  <c r="U165" i="2" s="1"/>
  <c r="AH130" i="2"/>
  <c r="U130" i="2" s="1"/>
  <c r="AH126" i="2"/>
  <c r="U126" i="2" s="1"/>
  <c r="AH163" i="2"/>
  <c r="U163" i="2" s="1"/>
  <c r="AH186" i="2"/>
  <c r="U186" i="2" s="1"/>
  <c r="AH192" i="2"/>
  <c r="U192" i="2" s="1"/>
  <c r="AH144" i="2"/>
  <c r="U144" i="2" s="1"/>
  <c r="AH123" i="2"/>
  <c r="U123" i="2" s="1"/>
  <c r="AH162" i="2"/>
  <c r="U162" i="2" s="1"/>
  <c r="AH172" i="2"/>
  <c r="U172" i="2" s="1"/>
  <c r="AH183" i="2"/>
  <c r="U183" i="2" s="1"/>
  <c r="AH134" i="2"/>
  <c r="U134" i="2" s="1"/>
  <c r="AH156" i="2"/>
  <c r="U156" i="2" s="1"/>
  <c r="AH184" i="2"/>
  <c r="U184" i="2" s="1"/>
  <c r="AC236" i="2"/>
  <c r="U236" i="2" s="1"/>
  <c r="AH121" i="2"/>
  <c r="U121" i="2" s="1"/>
  <c r="X121" i="2" s="1"/>
  <c r="AH181" i="2"/>
  <c r="U181" i="2" s="1"/>
  <c r="AH125" i="2"/>
  <c r="U125" i="2" s="1"/>
  <c r="AH170" i="2"/>
  <c r="U170" i="2" s="1"/>
  <c r="AH138" i="2"/>
  <c r="U138" i="2" s="1"/>
  <c r="AH143" i="2"/>
  <c r="U143" i="2" s="1"/>
  <c r="AH135" i="2"/>
  <c r="U135" i="2" s="1"/>
  <c r="AH169" i="2"/>
  <c r="U169" i="2" s="1"/>
  <c r="AC241" i="2"/>
  <c r="U241" i="2" s="1"/>
  <c r="AH161" i="2"/>
  <c r="U161" i="2" s="1"/>
  <c r="AH136" i="2"/>
  <c r="U136" i="2" s="1"/>
  <c r="AH168" i="2"/>
  <c r="U168" i="2" s="1"/>
  <c r="AH191" i="2"/>
  <c r="U191" i="2" s="1"/>
  <c r="AH149" i="2"/>
  <c r="U149" i="2" s="1"/>
  <c r="AH193" i="2"/>
  <c r="U193" i="2" s="1"/>
  <c r="AH160" i="2"/>
  <c r="U160" i="2" s="1"/>
  <c r="AH185" i="2"/>
  <c r="U185" i="2" s="1"/>
  <c r="F9" i="4"/>
  <c r="G9" i="4" s="1"/>
  <c r="F10" i="4"/>
  <c r="G10" i="4" s="1"/>
  <c r="F11" i="4"/>
  <c r="G11" i="4" s="1"/>
  <c r="F12" i="4"/>
  <c r="G12" i="4" s="1"/>
  <c r="F5" i="4"/>
  <c r="G5" i="4" s="1"/>
  <c r="C30" i="4"/>
  <c r="C29" i="4"/>
  <c r="F29" i="4"/>
  <c r="G29" i="4" s="1"/>
  <c r="F22" i="4"/>
  <c r="G22" i="4" s="1"/>
  <c r="F24" i="4"/>
  <c r="G24" i="4" s="1"/>
  <c r="F25" i="4"/>
  <c r="G25" i="4" s="1"/>
  <c r="F26" i="4"/>
  <c r="G26" i="4" s="1"/>
  <c r="F27" i="4"/>
  <c r="G27" i="4" s="1"/>
  <c r="F28" i="4"/>
  <c r="G28" i="4" s="1"/>
  <c r="F21" i="4"/>
  <c r="G21" i="4" s="1"/>
  <c r="F15" i="4"/>
  <c r="G15" i="4" s="1"/>
  <c r="F16" i="4"/>
  <c r="G16" i="4" s="1"/>
  <c r="F17" i="4"/>
  <c r="G17" i="4" s="1"/>
  <c r="F18" i="4"/>
  <c r="G18" i="4" s="1"/>
  <c r="F19" i="4"/>
  <c r="G19" i="4" s="1"/>
  <c r="F20" i="4"/>
  <c r="G20" i="4" s="1"/>
  <c r="F13" i="4"/>
  <c r="G13" i="4" s="1"/>
  <c r="AA30" i="2"/>
  <c r="AF30" i="2" s="1"/>
  <c r="AD30" i="2"/>
  <c r="Z30" i="2" s="1"/>
  <c r="AA31" i="2"/>
  <c r="AF31" i="2" s="1"/>
  <c r="AD31" i="2"/>
  <c r="Z31" i="2" s="1"/>
  <c r="AB31" i="2" s="1"/>
  <c r="AA32" i="2"/>
  <c r="AF32" i="2" s="1"/>
  <c r="AD32" i="2"/>
  <c r="Z32" i="2" s="1"/>
  <c r="AB32" i="2" s="1"/>
  <c r="AA33" i="2"/>
  <c r="AF33" i="2" s="1"/>
  <c r="AD33" i="2"/>
  <c r="Z33" i="2" s="1"/>
  <c r="AB33" i="2" s="1"/>
  <c r="AA34" i="2"/>
  <c r="AF34" i="2" s="1"/>
  <c r="AD34" i="2"/>
  <c r="Z34" i="2" s="1"/>
  <c r="AB34" i="2" s="1"/>
  <c r="AB35" i="2"/>
  <c r="AG35" i="2" s="1"/>
  <c r="AD35" i="2"/>
  <c r="Z35" i="2" s="1"/>
  <c r="AA35" i="2" s="1"/>
  <c r="AB36" i="2"/>
  <c r="AG36" i="2" s="1"/>
  <c r="AD36" i="2"/>
  <c r="Z36" i="2" s="1"/>
  <c r="AA36" i="2" s="1"/>
  <c r="AA37" i="2"/>
  <c r="AF37" i="2" s="1"/>
  <c r="AD37" i="2"/>
  <c r="Z37" i="2" s="1"/>
  <c r="AB37" i="2" s="1"/>
  <c r="AA38" i="2"/>
  <c r="AF38" i="2" s="1"/>
  <c r="AD38" i="2"/>
  <c r="Z38" i="2" s="1"/>
  <c r="AB38" i="2" s="1"/>
  <c r="AA39" i="2"/>
  <c r="AF39" i="2" s="1"/>
  <c r="AD39" i="2"/>
  <c r="Z39" i="2" s="1"/>
  <c r="AB39" i="2" s="1"/>
  <c r="AA40" i="2"/>
  <c r="AF40" i="2" s="1"/>
  <c r="AD40" i="2"/>
  <c r="Z40" i="2" s="1"/>
  <c r="AB40" i="2" s="1"/>
  <c r="AA41" i="2"/>
  <c r="AF41" i="2" s="1"/>
  <c r="AD41" i="2"/>
  <c r="Z41" i="2" s="1"/>
  <c r="AB41" i="2" s="1"/>
  <c r="AA42" i="2"/>
  <c r="AF42" i="2" s="1"/>
  <c r="AD42" i="2"/>
  <c r="Z42" i="2" s="1"/>
  <c r="AB42" i="2" s="1"/>
  <c r="AA43" i="2"/>
  <c r="AF43" i="2" s="1"/>
  <c r="AD43" i="2"/>
  <c r="Z43" i="2" s="1"/>
  <c r="AB43" i="2" s="1"/>
  <c r="AA44" i="2"/>
  <c r="AF44" i="2" s="1"/>
  <c r="AD44" i="2"/>
  <c r="Z44" i="2" s="1"/>
  <c r="AB44" i="2" s="1"/>
  <c r="AB45" i="2"/>
  <c r="AG45" i="2" s="1"/>
  <c r="AD45" i="2"/>
  <c r="Z45" i="2" s="1"/>
  <c r="AA45" i="2" s="1"/>
  <c r="AA46" i="2"/>
  <c r="AF46" i="2" s="1"/>
  <c r="AD46" i="2"/>
  <c r="Z46" i="2" s="1"/>
  <c r="AB46" i="2" s="1"/>
  <c r="AA47" i="2"/>
  <c r="AF47" i="2" s="1"/>
  <c r="AD47" i="2"/>
  <c r="Z47" i="2" s="1"/>
  <c r="AB47" i="2" s="1"/>
  <c r="AA48" i="2"/>
  <c r="AF48" i="2" s="1"/>
  <c r="AD48" i="2"/>
  <c r="Z48" i="2" s="1"/>
  <c r="AB48" i="2" s="1"/>
  <c r="AA49" i="2"/>
  <c r="AF49" i="2" s="1"/>
  <c r="AD49" i="2"/>
  <c r="Z49" i="2" s="1"/>
  <c r="AB49" i="2" s="1"/>
  <c r="AA50" i="2"/>
  <c r="AF50" i="2" s="1"/>
  <c r="AD50" i="2"/>
  <c r="Z50" i="2" s="1"/>
  <c r="AB50" i="2" s="1"/>
  <c r="AA51" i="2"/>
  <c r="AF51" i="2" s="1"/>
  <c r="AD51" i="2"/>
  <c r="Z51" i="2" s="1"/>
  <c r="AB51" i="2" s="1"/>
  <c r="AB52" i="2"/>
  <c r="AG52" i="2" s="1"/>
  <c r="AD52" i="2"/>
  <c r="Z52" i="2" s="1"/>
  <c r="AA52" i="2" s="1"/>
  <c r="AB53" i="2"/>
  <c r="AG53" i="2" s="1"/>
  <c r="AD53" i="2"/>
  <c r="Z53" i="2" s="1"/>
  <c r="AA53" i="2" s="1"/>
  <c r="AA54" i="2"/>
  <c r="AF54" i="2" s="1"/>
  <c r="AD54" i="2"/>
  <c r="Z54" i="2" s="1"/>
  <c r="AB54" i="2" s="1"/>
  <c r="AA55" i="2"/>
  <c r="AF55" i="2" s="1"/>
  <c r="AD55" i="2"/>
  <c r="Z55" i="2" s="1"/>
  <c r="AB55" i="2" s="1"/>
  <c r="AA56" i="2"/>
  <c r="AF56" i="2" s="1"/>
  <c r="AD56" i="2"/>
  <c r="Z56" i="2" s="1"/>
  <c r="AB56" i="2" s="1"/>
  <c r="AA57" i="2"/>
  <c r="AF57" i="2" s="1"/>
  <c r="AD57" i="2"/>
  <c r="Z57" i="2" s="1"/>
  <c r="AB57" i="2" s="1"/>
  <c r="AA58" i="2"/>
  <c r="AF58" i="2" s="1"/>
  <c r="AD58" i="2"/>
  <c r="Z58" i="2" s="1"/>
  <c r="AB58" i="2" s="1"/>
  <c r="AA59" i="2"/>
  <c r="AF59" i="2" s="1"/>
  <c r="AD59" i="2"/>
  <c r="Z59" i="2" s="1"/>
  <c r="AB59" i="2" s="1"/>
  <c r="AA60" i="2"/>
  <c r="AF60" i="2" s="1"/>
  <c r="AD60" i="2"/>
  <c r="Z60" i="2" s="1"/>
  <c r="AB60" i="2" s="1"/>
  <c r="AA61" i="2"/>
  <c r="AF61" i="2" s="1"/>
  <c r="AD61" i="2"/>
  <c r="Z61" i="2" s="1"/>
  <c r="AB61" i="2" s="1"/>
  <c r="AA62" i="2"/>
  <c r="AF62" i="2" s="1"/>
  <c r="AD62" i="2"/>
  <c r="Z62" i="2" s="1"/>
  <c r="AB62" i="2" s="1"/>
  <c r="AA63" i="2"/>
  <c r="AF63" i="2" s="1"/>
  <c r="AD63" i="2"/>
  <c r="Z63" i="2" s="1"/>
  <c r="AB63" i="2" s="1"/>
  <c r="AA64" i="2"/>
  <c r="AF64" i="2" s="1"/>
  <c r="AD64" i="2"/>
  <c r="Z64" i="2" s="1"/>
  <c r="AB64" i="2" s="1"/>
  <c r="AA65" i="2"/>
  <c r="AF65" i="2" s="1"/>
  <c r="AD65" i="2"/>
  <c r="Z65" i="2" s="1"/>
  <c r="AB65" i="2" s="1"/>
  <c r="AA66" i="2"/>
  <c r="AF66" i="2" s="1"/>
  <c r="AD66" i="2"/>
  <c r="Z66" i="2" s="1"/>
  <c r="AB66" i="2" s="1"/>
  <c r="AA67" i="2"/>
  <c r="AF67" i="2" s="1"/>
  <c r="AD67" i="2"/>
  <c r="Z67" i="2" s="1"/>
  <c r="AB67" i="2" s="1"/>
  <c r="AA68" i="2"/>
  <c r="AF68" i="2" s="1"/>
  <c r="AD68" i="2"/>
  <c r="Z68" i="2" s="1"/>
  <c r="AB68" i="2" s="1"/>
  <c r="AA69" i="2"/>
  <c r="AF69" i="2" s="1"/>
  <c r="AD69" i="2"/>
  <c r="Z69" i="2" s="1"/>
  <c r="AB69" i="2" s="1"/>
  <c r="AB70" i="2"/>
  <c r="AG70" i="2" s="1"/>
  <c r="AD70" i="2"/>
  <c r="Z70" i="2" s="1"/>
  <c r="AA70" i="2" s="1"/>
  <c r="AB71" i="2"/>
  <c r="AG71" i="2" s="1"/>
  <c r="AD71" i="2"/>
  <c r="Z71" i="2" s="1"/>
  <c r="AA71" i="2" s="1"/>
  <c r="AA72" i="2"/>
  <c r="AF72" i="2" s="1"/>
  <c r="AD72" i="2"/>
  <c r="Z72" i="2" s="1"/>
  <c r="AB72" i="2" s="1"/>
  <c r="AA73" i="2"/>
  <c r="AF73" i="2" s="1"/>
  <c r="AD73" i="2"/>
  <c r="Z73" i="2" s="1"/>
  <c r="AB73" i="2" s="1"/>
  <c r="AA74" i="2"/>
  <c r="AF74" i="2" s="1"/>
  <c r="AD74" i="2"/>
  <c r="Z74" i="2" s="1"/>
  <c r="AB74" i="2" s="1"/>
  <c r="AA75" i="2"/>
  <c r="AF75" i="2" s="1"/>
  <c r="AD75" i="2"/>
  <c r="Z75" i="2" s="1"/>
  <c r="AB75" i="2" s="1"/>
  <c r="AA76" i="2"/>
  <c r="AF76" i="2" s="1"/>
  <c r="AD76" i="2"/>
  <c r="Z76" i="2" s="1"/>
  <c r="AB76" i="2" s="1"/>
  <c r="U26" i="2"/>
  <c r="U25" i="2"/>
  <c r="U24" i="2"/>
  <c r="AD27" i="2"/>
  <c r="Z27" i="2" s="1"/>
  <c r="AA27" i="2"/>
  <c r="AF27" i="2" s="1"/>
  <c r="A328" i="2"/>
  <c r="U328" i="2" s="1"/>
  <c r="W328" i="2" s="1"/>
  <c r="U327" i="2"/>
  <c r="W327" i="2" s="1"/>
  <c r="A309" i="2"/>
  <c r="U309" i="2" s="1"/>
  <c r="A322" i="2"/>
  <c r="U322" i="2" s="1"/>
  <c r="U321" i="2"/>
  <c r="W321" i="2" s="1"/>
  <c r="U320" i="2"/>
  <c r="U319" i="2"/>
  <c r="U318" i="2"/>
  <c r="X318" i="2" s="1"/>
  <c r="U317" i="2"/>
  <c r="X317" i="2" s="1"/>
  <c r="U316" i="2"/>
  <c r="U315" i="2"/>
  <c r="W315" i="2" s="1"/>
  <c r="U314" i="2"/>
  <c r="X314" i="2" s="1"/>
  <c r="U308" i="2"/>
  <c r="U307" i="2"/>
  <c r="A302" i="2"/>
  <c r="U302" i="2" s="1"/>
  <c r="U301" i="2"/>
  <c r="W301" i="2" s="1"/>
  <c r="U300" i="2"/>
  <c r="U299" i="2"/>
  <c r="W299" i="2" s="1"/>
  <c r="U298" i="2"/>
  <c r="X298" i="2" s="1"/>
  <c r="U297" i="2"/>
  <c r="U296" i="2"/>
  <c r="A291" i="2"/>
  <c r="U291" i="2" s="1"/>
  <c r="A279" i="2"/>
  <c r="U279" i="2" s="1"/>
  <c r="U290" i="2"/>
  <c r="U289" i="2"/>
  <c r="U288" i="2"/>
  <c r="U287" i="2"/>
  <c r="U286" i="2"/>
  <c r="U285" i="2"/>
  <c r="U284" i="2"/>
  <c r="U278" i="2"/>
  <c r="W278" i="2" s="1"/>
  <c r="U277" i="2"/>
  <c r="U276" i="2"/>
  <c r="U275" i="2"/>
  <c r="U274" i="2"/>
  <c r="X274" i="2" s="1"/>
  <c r="U273" i="2"/>
  <c r="W273" i="2" s="1"/>
  <c r="A268" i="2"/>
  <c r="U268" i="2" s="1"/>
  <c r="A257" i="2"/>
  <c r="U257" i="2" s="1"/>
  <c r="U267" i="2"/>
  <c r="U266" i="2"/>
  <c r="U265" i="2"/>
  <c r="W265" i="2" s="1"/>
  <c r="U264" i="2"/>
  <c r="U263" i="2"/>
  <c r="W263" i="2" s="1"/>
  <c r="U262" i="2"/>
  <c r="U256" i="2"/>
  <c r="U255" i="2"/>
  <c r="U254" i="2"/>
  <c r="U253" i="2"/>
  <c r="X244" i="2"/>
  <c r="A248" i="2"/>
  <c r="U248" i="2" s="1"/>
  <c r="A229" i="2"/>
  <c r="U229" i="2" s="1"/>
  <c r="A201" i="2"/>
  <c r="U201" i="2" s="1"/>
  <c r="A210" i="2"/>
  <c r="U210" i="2" s="1"/>
  <c r="U209" i="2"/>
  <c r="U208" i="2"/>
  <c r="U207" i="2"/>
  <c r="U206" i="2"/>
  <c r="U200" i="2"/>
  <c r="A195" i="2"/>
  <c r="U195" i="2" s="1"/>
  <c r="U112" i="2"/>
  <c r="X112" i="2" s="1"/>
  <c r="U111" i="2"/>
  <c r="U110" i="2"/>
  <c r="W110" i="2" s="1"/>
  <c r="U109" i="2"/>
  <c r="U108" i="2"/>
  <c r="A113" i="2"/>
  <c r="U113" i="2" s="1"/>
  <c r="A102" i="2"/>
  <c r="U82" i="2"/>
  <c r="X82" i="2" s="1"/>
  <c r="U83" i="2"/>
  <c r="U84" i="2"/>
  <c r="U85" i="2"/>
  <c r="W85" i="2" s="1"/>
  <c r="U86" i="2"/>
  <c r="W86" i="2" s="1"/>
  <c r="U87" i="2"/>
  <c r="W87" i="2" s="1"/>
  <c r="U88" i="2"/>
  <c r="U89" i="2"/>
  <c r="U90" i="2"/>
  <c r="X90" i="2" s="1"/>
  <c r="U91" i="2"/>
  <c r="W91" i="2" s="1"/>
  <c r="U92" i="2"/>
  <c r="U93" i="2"/>
  <c r="U94" i="2"/>
  <c r="U95" i="2"/>
  <c r="X95" i="2" s="1"/>
  <c r="U96" i="2"/>
  <c r="W96" i="2" s="1"/>
  <c r="U97" i="2"/>
  <c r="W97" i="2" s="1"/>
  <c r="U98" i="2"/>
  <c r="X98" i="2" s="1"/>
  <c r="U99" i="2"/>
  <c r="X99" i="2" s="1"/>
  <c r="U100" i="2"/>
  <c r="W100" i="2" s="1"/>
  <c r="U101" i="2"/>
  <c r="W101" i="2" s="1"/>
  <c r="AB30" i="2" l="1"/>
  <c r="AE28" i="2"/>
  <c r="AE29" i="2"/>
  <c r="AB27" i="2"/>
  <c r="AE27" i="2"/>
  <c r="F31" i="4"/>
  <c r="G31" i="4" s="1"/>
  <c r="H31" i="4" s="1"/>
  <c r="H21" i="4"/>
  <c r="I21" i="4" s="1"/>
  <c r="H28" i="4"/>
  <c r="I28" i="4" s="1"/>
  <c r="H27" i="4"/>
  <c r="I27" i="4" s="1"/>
  <c r="H5" i="4"/>
  <c r="I5" i="4" s="1"/>
  <c r="H26" i="4"/>
  <c r="I26" i="4" s="1"/>
  <c r="H12" i="4"/>
  <c r="I12" i="4" s="1"/>
  <c r="H25" i="4"/>
  <c r="I25" i="4" s="1"/>
  <c r="H11" i="4"/>
  <c r="I11" i="4" s="1"/>
  <c r="H24" i="4"/>
  <c r="I24" i="4" s="1"/>
  <c r="H10" i="4"/>
  <c r="I10" i="4" s="1"/>
  <c r="H22" i="4"/>
  <c r="I22" i="4" s="1"/>
  <c r="H9" i="4"/>
  <c r="I9" i="4" s="1"/>
  <c r="H29" i="4"/>
  <c r="H20" i="4"/>
  <c r="I20" i="4" s="1"/>
  <c r="H15" i="4"/>
  <c r="I15" i="4" s="1"/>
  <c r="H19" i="4"/>
  <c r="I19" i="4" s="1"/>
  <c r="H13" i="4"/>
  <c r="I13" i="4" s="1"/>
  <c r="H18" i="4"/>
  <c r="I18" i="4" s="1"/>
  <c r="H17" i="4"/>
  <c r="I17" i="4" s="1"/>
  <c r="H16" i="4"/>
  <c r="I16" i="4" s="1"/>
  <c r="F32" i="4"/>
  <c r="G32" i="4" s="1"/>
  <c r="H32" i="4" s="1"/>
  <c r="X299" i="2"/>
  <c r="F33" i="4"/>
  <c r="G33" i="4" s="1"/>
  <c r="H33" i="4" s="1"/>
  <c r="F30" i="4"/>
  <c r="G30" i="4" s="1"/>
  <c r="H30" i="4" s="1"/>
  <c r="X301" i="2"/>
  <c r="X321" i="2"/>
  <c r="X265" i="2"/>
  <c r="X263" i="2"/>
  <c r="W317" i="2"/>
  <c r="X327" i="2"/>
  <c r="X273" i="2"/>
  <c r="W274" i="2"/>
  <c r="X278" i="2"/>
  <c r="W314" i="2"/>
  <c r="X319" i="2"/>
  <c r="W319" i="2"/>
  <c r="X315" i="2"/>
  <c r="W298" i="2"/>
  <c r="W318" i="2"/>
  <c r="F14" i="4"/>
  <c r="G14" i="4" s="1"/>
  <c r="H14" i="4" s="1"/>
  <c r="W244" i="2"/>
  <c r="F23" i="4"/>
  <c r="G23" i="4" s="1"/>
  <c r="AF71" i="2"/>
  <c r="AF70" i="2"/>
  <c r="AE70" i="2"/>
  <c r="AE52" i="2"/>
  <c r="AE50" i="2"/>
  <c r="AE48" i="2"/>
  <c r="AE46" i="2"/>
  <c r="AE73" i="2"/>
  <c r="AF52" i="2"/>
  <c r="AE35" i="2"/>
  <c r="AE33" i="2"/>
  <c r="AE31" i="2"/>
  <c r="AE76" i="2"/>
  <c r="AE68" i="2"/>
  <c r="AE66" i="2"/>
  <c r="AE64" i="2"/>
  <c r="AE62" i="2"/>
  <c r="AE60" i="2"/>
  <c r="AE58" i="2"/>
  <c r="AE56" i="2"/>
  <c r="AE54" i="2"/>
  <c r="AF35" i="2"/>
  <c r="AE71" i="2"/>
  <c r="AE45" i="2"/>
  <c r="AE41" i="2"/>
  <c r="AE37" i="2"/>
  <c r="AE74" i="2"/>
  <c r="AE51" i="2"/>
  <c r="AE49" i="2"/>
  <c r="AE69" i="2"/>
  <c r="AE53" i="2"/>
  <c r="AE34" i="2"/>
  <c r="AE32" i="2"/>
  <c r="AE30" i="2"/>
  <c r="AE47" i="2"/>
  <c r="AE72" i="2"/>
  <c r="AE67" i="2"/>
  <c r="AE65" i="2"/>
  <c r="AE63" i="2"/>
  <c r="AE61" i="2"/>
  <c r="AE59" i="2"/>
  <c r="AE57" i="2"/>
  <c r="AE55" i="2"/>
  <c r="AF53" i="2"/>
  <c r="AE36" i="2"/>
  <c r="AG34" i="2"/>
  <c r="AE43" i="2"/>
  <c r="AE39" i="2"/>
  <c r="AF45" i="2"/>
  <c r="AE75" i="2"/>
  <c r="AE44" i="2"/>
  <c r="AE42" i="2"/>
  <c r="AE40" i="2"/>
  <c r="AE38" i="2"/>
  <c r="AF36" i="2"/>
  <c r="W121" i="2"/>
  <c r="X122" i="2"/>
  <c r="X110" i="2"/>
  <c r="W99" i="2"/>
  <c r="W112" i="2"/>
  <c r="W98" i="2"/>
  <c r="X97" i="2"/>
  <c r="X91" i="2"/>
  <c r="W90" i="2"/>
  <c r="W82" i="2"/>
  <c r="X100" i="2"/>
  <c r="X86" i="2"/>
  <c r="X85" i="2"/>
  <c r="X101" i="2"/>
  <c r="X96" i="2"/>
  <c r="X87" i="2"/>
  <c r="W95" i="2"/>
  <c r="AG73" i="2" l="1"/>
  <c r="AG29" i="2"/>
  <c r="AG28" i="2"/>
  <c r="AH21" i="2"/>
  <c r="X123" i="2"/>
  <c r="W122" i="2"/>
  <c r="W236" i="2"/>
  <c r="AG49" i="2"/>
  <c r="AG30" i="2"/>
  <c r="AG61" i="2"/>
  <c r="AG65" i="2"/>
  <c r="AG72" i="2"/>
  <c r="H23" i="4"/>
  <c r="AG56" i="2"/>
  <c r="AG63" i="2"/>
  <c r="AG62" i="2"/>
  <c r="AG47" i="2"/>
  <c r="AG75" i="2"/>
  <c r="AG38" i="2"/>
  <c r="AG37" i="2"/>
  <c r="AG40" i="2"/>
  <c r="AG58" i="2"/>
  <c r="AG67" i="2"/>
  <c r="AG68" i="2"/>
  <c r="AG42" i="2"/>
  <c r="AG66" i="2"/>
  <c r="AG74" i="2"/>
  <c r="AG39" i="2"/>
  <c r="AG60" i="2"/>
  <c r="AG55" i="2"/>
  <c r="AG43" i="2"/>
  <c r="AG64" i="2"/>
  <c r="AG50" i="2"/>
  <c r="AG59" i="2"/>
  <c r="AG69" i="2"/>
  <c r="AG57" i="2"/>
  <c r="AG41" i="2"/>
  <c r="AG27" i="2"/>
  <c r="AG51" i="2"/>
  <c r="AG31" i="2"/>
  <c r="AG46" i="2"/>
  <c r="AG44" i="2"/>
  <c r="AG76" i="2"/>
  <c r="AG32" i="2"/>
  <c r="AG54" i="2"/>
  <c r="AG33" i="2"/>
  <c r="AG48" i="2"/>
  <c r="AI21" i="2" l="1"/>
  <c r="AH22" i="2"/>
  <c r="AJ21" i="2" s="1"/>
  <c r="X124" i="2"/>
  <c r="X125" i="2"/>
  <c r="W123" i="2"/>
  <c r="AI22" i="2" l="1"/>
  <c r="AH29" i="2" s="1"/>
  <c r="X126" i="2"/>
  <c r="W124" i="2"/>
  <c r="AH50" i="2"/>
  <c r="U50" i="2" s="1"/>
  <c r="AH40" i="2"/>
  <c r="U40" i="2" s="1"/>
  <c r="AH71" i="2"/>
  <c r="U71" i="2" s="1"/>
  <c r="AH51" i="2"/>
  <c r="U51" i="2" s="1"/>
  <c r="AH57" i="2"/>
  <c r="U57" i="2" s="1"/>
  <c r="AH70" i="2"/>
  <c r="U70" i="2" s="1"/>
  <c r="AH38" i="2"/>
  <c r="U38" i="2" s="1"/>
  <c r="AH52" i="2"/>
  <c r="U52" i="2" s="1"/>
  <c r="AH30" i="2"/>
  <c r="U30" i="2" s="1"/>
  <c r="AH67" i="2"/>
  <c r="U67" i="2" s="1"/>
  <c r="AH53" i="2"/>
  <c r="U53" i="2" s="1"/>
  <c r="W30" i="2" l="1"/>
  <c r="X30" i="2"/>
  <c r="AH28" i="2"/>
  <c r="AH76" i="2"/>
  <c r="U76" i="2" s="1"/>
  <c r="AH73" i="2"/>
  <c r="U73" i="2" s="1"/>
  <c r="AH72" i="2"/>
  <c r="U72" i="2" s="1"/>
  <c r="AH69" i="2"/>
  <c r="U69" i="2" s="1"/>
  <c r="AH66" i="2"/>
  <c r="U66" i="2" s="1"/>
  <c r="AH60" i="2"/>
  <c r="U60" i="2" s="1"/>
  <c r="AH59" i="2"/>
  <c r="U59" i="2" s="1"/>
  <c r="AH65" i="2"/>
  <c r="U65" i="2" s="1"/>
  <c r="AH48" i="2"/>
  <c r="U48" i="2" s="1"/>
  <c r="AH36" i="2"/>
  <c r="U36" i="2" s="1"/>
  <c r="AH43" i="2"/>
  <c r="U43" i="2" s="1"/>
  <c r="AH55" i="2"/>
  <c r="U55" i="2" s="1"/>
  <c r="AH49" i="2"/>
  <c r="U49" i="2" s="1"/>
  <c r="AH46" i="2"/>
  <c r="U46" i="2" s="1"/>
  <c r="AH45" i="2"/>
  <c r="U45" i="2" s="1"/>
  <c r="AH47" i="2"/>
  <c r="U47" i="2" s="1"/>
  <c r="AH33" i="2"/>
  <c r="U33" i="2" s="1"/>
  <c r="AH35" i="2"/>
  <c r="U35" i="2" s="1"/>
  <c r="AH34" i="2"/>
  <c r="U34" i="2" s="1"/>
  <c r="AH75" i="2"/>
  <c r="U75" i="2" s="1"/>
  <c r="AH74" i="2"/>
  <c r="U74" i="2" s="1"/>
  <c r="AH32" i="2"/>
  <c r="U32" i="2" s="1"/>
  <c r="AH39" i="2"/>
  <c r="U39" i="2" s="1"/>
  <c r="AH44" i="2"/>
  <c r="U44" i="2" s="1"/>
  <c r="AH64" i="2"/>
  <c r="U64" i="2" s="1"/>
  <c r="AH31" i="2"/>
  <c r="AH41" i="2"/>
  <c r="U41" i="2" s="1"/>
  <c r="AH68" i="2"/>
  <c r="U68" i="2" s="1"/>
  <c r="AH61" i="2"/>
  <c r="U61" i="2" s="1"/>
  <c r="AH56" i="2"/>
  <c r="U56" i="2" s="1"/>
  <c r="AH54" i="2"/>
  <c r="U54" i="2" s="1"/>
  <c r="AH58" i="2"/>
  <c r="U58" i="2" s="1"/>
  <c r="AH37" i="2"/>
  <c r="U37" i="2" s="1"/>
  <c r="AH42" i="2"/>
  <c r="U42" i="2" s="1"/>
  <c r="AH63" i="2"/>
  <c r="U63" i="2" s="1"/>
  <c r="AH62" i="2"/>
  <c r="U62" i="2" s="1"/>
  <c r="AH27" i="2"/>
  <c r="U27" i="2" s="1"/>
  <c r="W27" i="2" s="1"/>
  <c r="X127" i="2"/>
  <c r="X128" i="2"/>
  <c r="W125" i="2"/>
  <c r="U31" i="2" l="1"/>
  <c r="F7" i="4"/>
  <c r="G7" i="4" s="1"/>
  <c r="H7" i="4" s="1"/>
  <c r="I7" i="4" s="1"/>
  <c r="F8" i="4"/>
  <c r="G8" i="4" s="1"/>
  <c r="H8" i="4" s="1"/>
  <c r="AH77" i="2"/>
  <c r="X27" i="2"/>
  <c r="X129" i="2"/>
  <c r="W126" i="2"/>
  <c r="U77" i="2" l="1"/>
  <c r="W31" i="2"/>
  <c r="X31" i="2"/>
  <c r="F6" i="4"/>
  <c r="G6" i="4" s="1"/>
  <c r="H6" i="4" s="1"/>
  <c r="I6" i="4" s="1"/>
  <c r="I14" i="4" s="1"/>
  <c r="W127" i="2"/>
  <c r="X130" i="2"/>
  <c r="X131" i="2" s="1"/>
  <c r="X132" i="2" s="1"/>
  <c r="W128" i="2"/>
  <c r="I8" i="4" l="1"/>
  <c r="X32" i="2"/>
  <c r="X33" i="2" s="1"/>
  <c r="X34" i="2" s="1"/>
  <c r="W32" i="2"/>
  <c r="X135" i="2"/>
  <c r="X136" i="2"/>
  <c r="W129" i="2"/>
  <c r="I23" i="4"/>
  <c r="W33" i="2" l="1"/>
  <c r="W130" i="2"/>
  <c r="W131" i="2" s="1"/>
  <c r="W132" i="2" s="1"/>
  <c r="X139" i="2"/>
  <c r="I29" i="4"/>
  <c r="X35" i="2"/>
  <c r="W34" i="2" l="1"/>
  <c r="X140" i="2"/>
  <c r="X141" i="2" s="1"/>
  <c r="W136" i="2"/>
  <c r="I30" i="4"/>
  <c r="X36" i="2"/>
  <c r="W39" i="2"/>
  <c r="W35" i="2" l="1"/>
  <c r="W36" i="2" s="1"/>
  <c r="W37" i="2" s="1"/>
  <c r="W38" i="2" s="1"/>
  <c r="I31" i="4"/>
  <c r="I32" i="4" s="1"/>
  <c r="X37" i="2"/>
  <c r="X144" i="2"/>
  <c r="X145" i="2" s="1"/>
  <c r="W40" i="2"/>
  <c r="W41" i="2" s="1"/>
  <c r="X38" i="2"/>
  <c r="I33" i="4" l="1"/>
  <c r="W144" i="2"/>
  <c r="W145" i="2" s="1"/>
  <c r="X147" i="2"/>
  <c r="X148" i="2" s="1"/>
  <c r="X39" i="2"/>
  <c r="W42" i="2"/>
  <c r="W43" i="2" l="1"/>
  <c r="W44" i="2" s="1"/>
  <c r="W45" i="2" s="1"/>
  <c r="W146" i="2"/>
  <c r="X149" i="2"/>
  <c r="W147" i="2"/>
  <c r="W148" i="2" s="1"/>
  <c r="X40" i="2"/>
  <c r="W46" i="2" l="1"/>
  <c r="W47" i="2" s="1"/>
  <c r="W48" i="2" s="1"/>
  <c r="W49" i="2" s="1"/>
  <c r="W50" i="2" s="1"/>
  <c r="W51" i="2" s="1"/>
  <c r="W52" i="2" s="1"/>
  <c r="W53" i="2" s="1"/>
  <c r="W149" i="2"/>
  <c r="W150" i="2" s="1"/>
  <c r="X150" i="2"/>
  <c r="X41" i="2"/>
  <c r="W54" i="2" l="1"/>
  <c r="W55" i="2" s="1"/>
  <c r="W56" i="2" s="1"/>
  <c r="W57" i="2" s="1"/>
  <c r="W58" i="2" s="1"/>
  <c r="W59" i="2" s="1"/>
  <c r="W60" i="2" s="1"/>
  <c r="W61" i="2" s="1"/>
  <c r="W62" i="2" s="1"/>
  <c r="W63" i="2" s="1"/>
  <c r="W64" i="2" s="1"/>
  <c r="W65" i="2" s="1"/>
  <c r="W66" i="2" s="1"/>
  <c r="W67" i="2" s="1"/>
  <c r="W68" i="2" s="1"/>
  <c r="W69" i="2" s="1"/>
  <c r="X153" i="2"/>
  <c r="X154" i="2" s="1"/>
  <c r="X42" i="2"/>
  <c r="W70" i="2"/>
  <c r="W71" i="2" s="1"/>
  <c r="W158" i="2" l="1"/>
  <c r="W159" i="2" s="1"/>
  <c r="X43" i="2"/>
  <c r="W72" i="2"/>
  <c r="W73" i="2" l="1"/>
  <c r="W74" i="2" s="1"/>
  <c r="W75" i="2" s="1"/>
  <c r="W76" i="2" s="1"/>
  <c r="W161" i="2"/>
  <c r="W162" i="2" s="1"/>
  <c r="X158" i="2"/>
  <c r="X44" i="2"/>
  <c r="W163" i="2" l="1"/>
  <c r="X159" i="2"/>
  <c r="X45" i="2"/>
  <c r="W164" i="2" l="1"/>
  <c r="X162" i="2"/>
  <c r="X46" i="2"/>
  <c r="W168" i="2" l="1"/>
  <c r="X163" i="2"/>
  <c r="X47" i="2"/>
  <c r="X48" i="2" l="1"/>
  <c r="X49" i="2" s="1"/>
  <c r="X50" i="2" s="1"/>
  <c r="X51" i="2" s="1"/>
  <c r="X164" i="2"/>
  <c r="X52" i="2"/>
  <c r="X53" i="2" s="1"/>
  <c r="X54" i="2" l="1"/>
  <c r="X55" i="2" s="1"/>
  <c r="X56" i="2" s="1"/>
  <c r="X57" i="2" s="1"/>
  <c r="X58" i="2" s="1"/>
  <c r="X59" i="2" s="1"/>
  <c r="X60" i="2" s="1"/>
  <c r="X61" i="2" s="1"/>
  <c r="X62" i="2" s="1"/>
  <c r="X63" i="2" s="1"/>
  <c r="X64" i="2" s="1"/>
  <c r="X65" i="2" s="1"/>
  <c r="X66" i="2" s="1"/>
  <c r="X67" i="2" s="1"/>
  <c r="X68" i="2" s="1"/>
  <c r="X69" i="2" s="1"/>
  <c r="X168" i="2" l="1"/>
  <c r="X70" i="2"/>
  <c r="X71" i="2" s="1"/>
  <c r="W177" i="2" l="1"/>
  <c r="X72" i="2"/>
  <c r="X73" i="2" s="1"/>
  <c r="X74" i="2" s="1"/>
  <c r="X75" i="2" s="1"/>
  <c r="X76" i="2" s="1"/>
  <c r="X83" i="2" s="1"/>
  <c r="X84" i="2" s="1"/>
  <c r="X174" i="2" l="1"/>
  <c r="X175" i="2" s="1"/>
  <c r="X88" i="2"/>
  <c r="X89" i="2" s="1"/>
  <c r="X177" i="2" l="1"/>
  <c r="W180" i="2"/>
  <c r="W181" i="2" s="1"/>
  <c r="W182" i="2" s="1"/>
  <c r="W183" i="2" s="1"/>
  <c r="W184" i="2" s="1"/>
  <c r="W185" i="2" s="1"/>
  <c r="X92" i="2"/>
  <c r="X93" i="2" l="1"/>
  <c r="X94" i="2" s="1"/>
  <c r="X108" i="2" s="1"/>
  <c r="X181" i="2"/>
  <c r="X182" i="2" s="1"/>
  <c r="X183" i="2" s="1"/>
  <c r="X184" i="2" s="1"/>
  <c r="X185" i="2" s="1"/>
  <c r="X180" i="2"/>
  <c r="W186" i="2"/>
  <c r="W187" i="2" s="1"/>
  <c r="X109" i="2"/>
  <c r="X111" i="2" s="1"/>
  <c r="X133" i="2" l="1"/>
  <c r="X134" i="2" s="1"/>
  <c r="X137" i="2" s="1"/>
  <c r="X142" i="2" s="1"/>
  <c r="X143" i="2" s="1"/>
  <c r="X146" i="2" s="1"/>
  <c r="X138" i="2"/>
  <c r="W188" i="2"/>
  <c r="W189" i="2" s="1"/>
  <c r="W190" i="2" s="1"/>
  <c r="W191" i="2" s="1"/>
  <c r="X187" i="2"/>
  <c r="X186" i="2"/>
  <c r="X200" i="2"/>
  <c r="X151" i="2" l="1"/>
  <c r="W192" i="2"/>
  <c r="W193" i="2" s="1"/>
  <c r="W194" i="2" s="1"/>
  <c r="X188" i="2"/>
  <c r="X189" i="2" s="1"/>
  <c r="X190" i="2" s="1"/>
  <c r="X191" i="2" s="1"/>
  <c r="X206" i="2"/>
  <c r="X152" i="2" l="1"/>
  <c r="X155" i="2" s="1"/>
  <c r="X156" i="2" s="1"/>
  <c r="X157" i="2" s="1"/>
  <c r="X160" i="2" s="1"/>
  <c r="X161" i="2" s="1"/>
  <c r="X192" i="2"/>
  <c r="X193" i="2" s="1"/>
  <c r="X194" i="2" s="1"/>
  <c r="X207" i="2"/>
  <c r="X165" i="2" l="1"/>
  <c r="X166" i="2" s="1"/>
  <c r="X167" i="2" s="1"/>
  <c r="X169" i="2" l="1"/>
  <c r="X217" i="2"/>
  <c r="X170" i="2" l="1"/>
  <c r="X171" i="2" s="1"/>
  <c r="X172" i="2" s="1"/>
  <c r="X173" i="2" s="1"/>
  <c r="X176" i="2" s="1"/>
  <c r="X178" i="2" s="1"/>
  <c r="X219" i="2"/>
  <c r="X179" i="2" l="1"/>
  <c r="X208" i="2" s="1"/>
  <c r="X209" i="2" s="1"/>
  <c r="X220" i="2"/>
  <c r="X216" i="2" l="1"/>
  <c r="X218" i="2" s="1"/>
  <c r="X221" i="2" s="1"/>
  <c r="X222" i="2" l="1"/>
  <c r="X223" i="2" s="1"/>
  <c r="X224" i="2" l="1"/>
  <c r="X225" i="2" l="1"/>
  <c r="X226" i="2" l="1"/>
  <c r="X262" i="2"/>
  <c r="X227" i="2" l="1"/>
  <c r="X264" i="2"/>
  <c r="X228" i="2" l="1"/>
  <c r="X266" i="2"/>
  <c r="X235" i="2" l="1"/>
  <c r="X236" i="2"/>
  <c r="X237" i="2"/>
  <c r="X238" i="2" s="1"/>
  <c r="X239" i="2" s="1"/>
  <c r="X240" i="2" s="1"/>
  <c r="X267" i="2"/>
  <c r="X242" i="2" l="1"/>
  <c r="X243" i="2" s="1"/>
  <c r="X246" i="2" s="1"/>
  <c r="X241" i="2"/>
  <c r="X275" i="2"/>
  <c r="X245" i="2" l="1"/>
  <c r="X247" i="2"/>
  <c r="X253" i="2" s="1"/>
  <c r="X254" i="2" s="1"/>
  <c r="X255" i="2" s="1"/>
  <c r="X256" i="2" s="1"/>
  <c r="X276" i="2"/>
  <c r="X277" i="2" l="1"/>
  <c r="X285" i="2" l="1"/>
  <c r="X286" i="2" l="1"/>
  <c r="X287" i="2" s="1"/>
  <c r="X288" i="2" l="1"/>
  <c r="X289" i="2" s="1"/>
  <c r="X290" i="2" s="1"/>
  <c r="X296" i="2" s="1"/>
  <c r="X297" i="2" l="1"/>
  <c r="X300" i="2" l="1"/>
  <c r="X307" i="2" l="1"/>
  <c r="X308" i="2" l="1"/>
  <c r="X316" i="2" l="1"/>
  <c r="N4" i="4" l="1"/>
  <c r="M4" i="4"/>
  <c r="X320" i="2"/>
  <c r="N21" i="4" s="1"/>
  <c r="M16" i="4"/>
  <c r="N16" i="4"/>
  <c r="M18" i="4"/>
  <c r="N27" i="4"/>
  <c r="N31" i="4"/>
  <c r="N89" i="4"/>
  <c r="N101" i="4" l="1"/>
  <c r="M28" i="4"/>
  <c r="M14" i="4"/>
  <c r="N26" i="4"/>
  <c r="M26" i="4"/>
  <c r="C5" i="7"/>
  <c r="C4" i="7"/>
  <c r="D3" i="7"/>
  <c r="C2" i="7"/>
  <c r="D2" i="7"/>
  <c r="D5" i="7"/>
  <c r="C3" i="7"/>
  <c r="C7" i="7"/>
  <c r="D4" i="7"/>
  <c r="C6" i="7"/>
  <c r="C11" i="7"/>
  <c r="D11" i="7"/>
  <c r="D12" i="7"/>
  <c r="C12" i="7"/>
  <c r="D14" i="7"/>
  <c r="D13" i="7"/>
  <c r="C13" i="7"/>
  <c r="C14" i="7"/>
  <c r="D15" i="7"/>
  <c r="C15" i="7"/>
  <c r="D6" i="7"/>
  <c r="D9" i="7"/>
  <c r="C8" i="7"/>
  <c r="C9" i="7"/>
  <c r="D8" i="7"/>
  <c r="D7" i="7"/>
  <c r="C10" i="7"/>
  <c r="D10" i="7"/>
  <c r="M6" i="4"/>
  <c r="D72" i="7"/>
  <c r="D129" i="7"/>
  <c r="D34" i="7"/>
  <c r="C78" i="7"/>
  <c r="C16" i="7"/>
  <c r="C92" i="7"/>
  <c r="D33" i="7"/>
  <c r="C21" i="7"/>
  <c r="C40" i="7"/>
  <c r="D131" i="7"/>
  <c r="C73" i="7"/>
  <c r="D135" i="7"/>
  <c r="D61" i="7"/>
  <c r="C32" i="7"/>
  <c r="C150" i="7"/>
  <c r="D104" i="7"/>
  <c r="D68" i="7"/>
  <c r="C145" i="7"/>
  <c r="C64" i="7"/>
  <c r="D21" i="7"/>
  <c r="D80" i="7"/>
  <c r="C112" i="7"/>
  <c r="D42" i="7"/>
  <c r="C87" i="7"/>
  <c r="C28" i="7"/>
  <c r="D46" i="7"/>
  <c r="D55" i="7"/>
  <c r="C93" i="7"/>
  <c r="C29" i="7"/>
  <c r="D20" i="7"/>
  <c r="D69" i="7"/>
  <c r="D63" i="7"/>
  <c r="C59" i="7"/>
  <c r="D93" i="7"/>
  <c r="D103" i="7"/>
  <c r="C75" i="7"/>
  <c r="C36" i="7"/>
  <c r="C89" i="7"/>
  <c r="C106" i="7"/>
  <c r="D127" i="7"/>
  <c r="D23" i="7"/>
  <c r="D25" i="7"/>
  <c r="D102" i="7"/>
  <c r="D88" i="7"/>
  <c r="D114" i="7"/>
  <c r="C55" i="7"/>
  <c r="C105" i="7"/>
  <c r="C45" i="7"/>
  <c r="D38" i="7"/>
  <c r="D89" i="7"/>
  <c r="C19" i="7"/>
  <c r="D31" i="7"/>
  <c r="D100" i="7"/>
  <c r="C143" i="7"/>
  <c r="C138" i="7"/>
  <c r="C85" i="7"/>
  <c r="D140" i="7"/>
  <c r="D119" i="7"/>
  <c r="C132" i="7"/>
  <c r="C122" i="7"/>
  <c r="C22" i="7"/>
  <c r="C115" i="7"/>
  <c r="C86" i="7"/>
  <c r="C81" i="7"/>
  <c r="D123" i="7"/>
  <c r="D74" i="7"/>
  <c r="C54" i="7"/>
  <c r="D70" i="7"/>
  <c r="C137" i="7"/>
  <c r="C139" i="7"/>
  <c r="D111" i="7"/>
  <c r="D91" i="7"/>
  <c r="D73" i="7"/>
  <c r="C56" i="7"/>
  <c r="C42" i="7"/>
  <c r="D36" i="7"/>
  <c r="D37" i="7"/>
  <c r="D16" i="7"/>
  <c r="C46" i="7"/>
  <c r="D148" i="7"/>
  <c r="C123" i="7"/>
  <c r="D109" i="7"/>
  <c r="C79" i="7"/>
  <c r="C140" i="7"/>
  <c r="D136" i="7"/>
  <c r="D82" i="7"/>
  <c r="D97" i="7"/>
  <c r="C96" i="7"/>
  <c r="C141" i="7"/>
  <c r="C147" i="7"/>
  <c r="C142" i="7"/>
  <c r="D50" i="7"/>
  <c r="D66" i="7"/>
  <c r="D101" i="7"/>
  <c r="C83" i="7"/>
  <c r="D67" i="7"/>
  <c r="C49" i="7"/>
  <c r="C38" i="7"/>
  <c r="D110" i="7"/>
  <c r="C68" i="7"/>
  <c r="D85" i="7"/>
  <c r="C104" i="7"/>
  <c r="C136" i="7"/>
  <c r="C121" i="7"/>
  <c r="D58" i="7"/>
  <c r="C108" i="7"/>
  <c r="C76" i="7"/>
  <c r="D76" i="7"/>
  <c r="C60" i="7"/>
  <c r="C129" i="7"/>
  <c r="C31" i="7"/>
  <c r="C98" i="7"/>
  <c r="C148" i="7"/>
  <c r="D98" i="7"/>
  <c r="D134" i="7"/>
  <c r="C18" i="7"/>
  <c r="C25" i="7"/>
  <c r="C128" i="7"/>
  <c r="C125" i="7"/>
  <c r="C24" i="7"/>
  <c r="D48" i="7"/>
  <c r="C111" i="7"/>
  <c r="D94" i="7"/>
  <c r="D96" i="7"/>
  <c r="C113" i="7"/>
  <c r="D86" i="7"/>
  <c r="C27" i="7"/>
  <c r="D144" i="7"/>
  <c r="D24" i="7"/>
  <c r="C44" i="7"/>
  <c r="C94" i="7"/>
  <c r="D17" i="7"/>
  <c r="C70" i="7"/>
  <c r="C69" i="7"/>
  <c r="C151" i="7"/>
  <c r="C103" i="7"/>
  <c r="C117" i="7"/>
  <c r="C102" i="7"/>
  <c r="C48" i="7"/>
  <c r="C26" i="7"/>
  <c r="C110" i="7"/>
  <c r="D27" i="7"/>
  <c r="D106" i="7"/>
  <c r="C58" i="7"/>
  <c r="C50" i="7"/>
  <c r="C107" i="7"/>
  <c r="D71" i="7"/>
  <c r="C91" i="7"/>
  <c r="C146" i="7"/>
  <c r="D49" i="7"/>
  <c r="D39" i="7"/>
  <c r="D29" i="7"/>
  <c r="C72" i="7"/>
  <c r="C30" i="7"/>
  <c r="D146" i="7"/>
  <c r="C90" i="7"/>
  <c r="D141" i="7"/>
  <c r="D59" i="7"/>
  <c r="C127" i="7"/>
  <c r="C34" i="7"/>
  <c r="C66" i="7"/>
  <c r="D150" i="7"/>
  <c r="D128" i="7"/>
  <c r="C100" i="7"/>
  <c r="D126" i="7"/>
  <c r="D142" i="7"/>
  <c r="C144" i="7"/>
  <c r="D116" i="7"/>
  <c r="C41" i="7"/>
  <c r="C17" i="7"/>
  <c r="D99" i="7"/>
  <c r="D45" i="7"/>
  <c r="D54" i="7"/>
  <c r="C51" i="7"/>
  <c r="D18" i="7"/>
  <c r="D124" i="7"/>
  <c r="D19" i="7"/>
  <c r="D112" i="7"/>
  <c r="C57" i="7"/>
  <c r="D35" i="7"/>
  <c r="C99" i="7"/>
  <c r="D132" i="7"/>
  <c r="C47" i="7"/>
  <c r="D77" i="7"/>
  <c r="D79" i="7"/>
  <c r="C61" i="7"/>
  <c r="D117" i="7"/>
  <c r="D139" i="7"/>
  <c r="D81" i="7"/>
  <c r="D122" i="7"/>
  <c r="D40" i="7"/>
  <c r="C88" i="7"/>
  <c r="D121" i="7"/>
  <c r="D41" i="7"/>
  <c r="D95" i="7"/>
  <c r="C149" i="7"/>
  <c r="D65" i="7"/>
  <c r="D57" i="7"/>
  <c r="D32" i="7"/>
  <c r="C114" i="7"/>
  <c r="D53" i="7"/>
  <c r="C118" i="7"/>
  <c r="C124" i="7"/>
  <c r="C74" i="7"/>
  <c r="C80" i="7"/>
  <c r="C131" i="7"/>
  <c r="D120" i="7"/>
  <c r="C71" i="7"/>
  <c r="C23" i="7"/>
  <c r="C119" i="7"/>
  <c r="D125" i="7"/>
  <c r="D52" i="7"/>
  <c r="D92" i="7"/>
  <c r="D143" i="7"/>
  <c r="D44" i="7"/>
  <c r="C35" i="7"/>
  <c r="C77" i="7"/>
  <c r="C53" i="7"/>
  <c r="D118" i="7"/>
  <c r="C62" i="7"/>
  <c r="D145" i="7"/>
  <c r="D149" i="7"/>
  <c r="C97" i="7"/>
  <c r="D147" i="7"/>
  <c r="D78" i="7"/>
  <c r="D105" i="7"/>
  <c r="C82" i="7"/>
  <c r="D87" i="7"/>
  <c r="D75" i="7"/>
  <c r="D130" i="7"/>
  <c r="C37" i="7"/>
  <c r="D28" i="7"/>
  <c r="C116" i="7"/>
  <c r="C43" i="7"/>
  <c r="D84" i="7"/>
  <c r="C109" i="7"/>
  <c r="C135" i="7"/>
  <c r="C67" i="7"/>
  <c r="D90" i="7"/>
  <c r="C52" i="7"/>
  <c r="C101" i="7"/>
  <c r="C120" i="7"/>
  <c r="C134" i="7"/>
  <c r="C84" i="7"/>
  <c r="C65" i="7"/>
  <c r="D108" i="7"/>
  <c r="C133" i="7"/>
  <c r="D60" i="7"/>
  <c r="C39" i="7"/>
  <c r="C126" i="7"/>
  <c r="D83" i="7"/>
  <c r="D64" i="7"/>
  <c r="C130" i="7"/>
  <c r="D133" i="7"/>
  <c r="D62" i="7"/>
  <c r="D22" i="7"/>
  <c r="D26" i="7"/>
  <c r="C20" i="7"/>
  <c r="D151" i="7"/>
  <c r="C63" i="7"/>
  <c r="D115" i="7"/>
  <c r="D138" i="7"/>
  <c r="D43" i="7"/>
  <c r="D47" i="7"/>
  <c r="C95" i="7"/>
  <c r="D113" i="7"/>
  <c r="D56" i="7"/>
  <c r="D137" i="7"/>
  <c r="D51" i="7"/>
  <c r="D107" i="7"/>
  <c r="D30" i="7"/>
  <c r="C33" i="7"/>
  <c r="N28" i="4"/>
  <c r="O28" i="4" s="1"/>
  <c r="N29" i="4"/>
  <c r="M153" i="4"/>
  <c r="O153" i="4" s="1"/>
  <c r="P153" i="4" s="1"/>
  <c r="N24" i="4"/>
  <c r="M17" i="4"/>
  <c r="N22" i="4"/>
  <c r="M24" i="4"/>
  <c r="M15" i="4"/>
  <c r="N20" i="4"/>
  <c r="M29" i="4"/>
  <c r="M21" i="4"/>
  <c r="O21" i="4" s="1"/>
  <c r="N14" i="4"/>
  <c r="O14" i="4" s="1"/>
  <c r="M20" i="4"/>
  <c r="N114" i="4"/>
  <c r="O4" i="4"/>
  <c r="N13" i="4"/>
  <c r="N9" i="4"/>
  <c r="N23" i="4"/>
  <c r="N8" i="4"/>
  <c r="N19" i="4"/>
  <c r="M5" i="4"/>
  <c r="N5" i="4"/>
  <c r="N17" i="4"/>
  <c r="N15" i="4"/>
  <c r="M8" i="4"/>
  <c r="M7" i="4"/>
  <c r="M11" i="4"/>
  <c r="N10" i="4"/>
  <c r="M10" i="4"/>
  <c r="M9" i="4"/>
  <c r="M19" i="4"/>
  <c r="N18" i="4"/>
  <c r="O18" i="4" s="1"/>
  <c r="M23" i="4"/>
  <c r="O16" i="4"/>
  <c r="N6" i="4"/>
  <c r="N7" i="4"/>
  <c r="M12" i="4"/>
  <c r="N12" i="4"/>
  <c r="N11" i="4"/>
  <c r="M13" i="4"/>
  <c r="N51" i="4"/>
  <c r="N39" i="4"/>
  <c r="M43" i="4"/>
  <c r="N34" i="4"/>
  <c r="M117" i="4"/>
  <c r="O117" i="4" s="1"/>
  <c r="P117" i="4" s="1"/>
  <c r="M143" i="4"/>
  <c r="O143" i="4" s="1"/>
  <c r="P143" i="4" s="1"/>
  <c r="N128" i="4"/>
  <c r="M138" i="4"/>
  <c r="O138" i="4" s="1"/>
  <c r="P138" i="4" s="1"/>
  <c r="M53" i="4"/>
  <c r="M96" i="4"/>
  <c r="O96" i="4" s="1"/>
  <c r="P96" i="4" s="1"/>
  <c r="N151" i="4"/>
  <c r="N93" i="4"/>
  <c r="M70" i="4"/>
  <c r="M72" i="4"/>
  <c r="O72" i="4" s="1"/>
  <c r="N106" i="4"/>
  <c r="N98" i="4"/>
  <c r="M120" i="4"/>
  <c r="O120" i="4" s="1"/>
  <c r="P120" i="4" s="1"/>
  <c r="M64" i="4"/>
  <c r="N122" i="4"/>
  <c r="M99" i="4"/>
  <c r="O99" i="4" s="1"/>
  <c r="P99" i="4" s="1"/>
  <c r="M121" i="4"/>
  <c r="O121" i="4" s="1"/>
  <c r="P121" i="4" s="1"/>
  <c r="M150" i="4"/>
  <c r="O150" i="4" s="1"/>
  <c r="P150" i="4" s="1"/>
  <c r="N146" i="4"/>
  <c r="N150" i="4"/>
  <c r="N131" i="4"/>
  <c r="N56" i="4"/>
  <c r="M77" i="4"/>
  <c r="M48" i="4"/>
  <c r="M107" i="4"/>
  <c r="O107" i="4" s="1"/>
  <c r="P107" i="4" s="1"/>
  <c r="N38" i="4"/>
  <c r="N36" i="4"/>
  <c r="M35" i="4"/>
  <c r="N57" i="4"/>
  <c r="N65" i="4"/>
  <c r="N99" i="4"/>
  <c r="M80" i="4"/>
  <c r="M62" i="4"/>
  <c r="M67" i="4"/>
  <c r="M113" i="4"/>
  <c r="O113" i="4" s="1"/>
  <c r="P113" i="4" s="1"/>
  <c r="M139" i="4"/>
  <c r="O139" i="4" s="1"/>
  <c r="P139" i="4" s="1"/>
  <c r="M132" i="4"/>
  <c r="O132" i="4" s="1"/>
  <c r="P132" i="4" s="1"/>
  <c r="N100" i="4"/>
  <c r="M122" i="4"/>
  <c r="O122" i="4" s="1"/>
  <c r="P122" i="4" s="1"/>
  <c r="N132" i="4"/>
  <c r="M105" i="4"/>
  <c r="O105" i="4" s="1"/>
  <c r="P105" i="4" s="1"/>
  <c r="N64" i="4"/>
  <c r="M82" i="4"/>
  <c r="M129" i="4"/>
  <c r="O129" i="4" s="1"/>
  <c r="P129" i="4" s="1"/>
  <c r="M141" i="4"/>
  <c r="O141" i="4" s="1"/>
  <c r="P141" i="4" s="1"/>
  <c r="N55" i="4"/>
  <c r="M115" i="4"/>
  <c r="O115" i="4" s="1"/>
  <c r="P115" i="4" s="1"/>
  <c r="M58" i="4"/>
  <c r="M98" i="4"/>
  <c r="O98" i="4" s="1"/>
  <c r="P98" i="4" s="1"/>
  <c r="M128" i="4"/>
  <c r="O128" i="4" s="1"/>
  <c r="P128" i="4" s="1"/>
  <c r="M76" i="4"/>
  <c r="N53" i="4"/>
  <c r="M44" i="4"/>
  <c r="N84" i="4"/>
  <c r="N85" i="4"/>
  <c r="M25" i="4"/>
  <c r="M78" i="4"/>
  <c r="O78" i="4" s="1"/>
  <c r="N32" i="4"/>
  <c r="N35" i="4"/>
  <c r="N42" i="4"/>
  <c r="N78" i="4"/>
  <c r="M119" i="4"/>
  <c r="O119" i="4" s="1"/>
  <c r="P119" i="4" s="1"/>
  <c r="N116" i="4"/>
  <c r="M134" i="4"/>
  <c r="O134" i="4" s="1"/>
  <c r="P134" i="4" s="1"/>
  <c r="M102" i="4"/>
  <c r="O102" i="4" s="1"/>
  <c r="P102" i="4" s="1"/>
  <c r="M55" i="4"/>
  <c r="M74" i="4"/>
  <c r="N115" i="4"/>
  <c r="M54" i="4"/>
  <c r="N67" i="4"/>
  <c r="M127" i="4"/>
  <c r="O127" i="4" s="1"/>
  <c r="P127" i="4" s="1"/>
  <c r="N44" i="4"/>
  <c r="N76" i="4"/>
  <c r="N62" i="4"/>
  <c r="N60" i="4"/>
  <c r="M125" i="4"/>
  <c r="O125" i="4" s="1"/>
  <c r="P125" i="4" s="1"/>
  <c r="N87" i="4"/>
  <c r="M146" i="4"/>
  <c r="O146" i="4" s="1"/>
  <c r="P146" i="4" s="1"/>
  <c r="M144" i="4"/>
  <c r="O144" i="4" s="1"/>
  <c r="P144" i="4" s="1"/>
  <c r="N92" i="4"/>
  <c r="M100" i="4"/>
  <c r="O100" i="4" s="1"/>
  <c r="P100" i="4" s="1"/>
  <c r="N46" i="4"/>
  <c r="M135" i="4"/>
  <c r="O135" i="4" s="1"/>
  <c r="P135" i="4" s="1"/>
  <c r="N126" i="4"/>
  <c r="N152" i="4"/>
  <c r="M101" i="4"/>
  <c r="O101" i="4" s="1"/>
  <c r="P101" i="4" s="1"/>
  <c r="M85" i="4"/>
  <c r="O85" i="4" s="1"/>
  <c r="M61" i="4"/>
  <c r="N142" i="4"/>
  <c r="N96" i="4"/>
  <c r="N95" i="4"/>
  <c r="M75" i="4"/>
  <c r="N108" i="4"/>
  <c r="N105" i="4"/>
  <c r="M30" i="4"/>
  <c r="N50" i="4"/>
  <c r="M36" i="4"/>
  <c r="M33" i="4"/>
  <c r="M34" i="4"/>
  <c r="M123" i="4"/>
  <c r="O123" i="4" s="1"/>
  <c r="P123" i="4" s="1"/>
  <c r="N59" i="4"/>
  <c r="M110" i="4"/>
  <c r="O110" i="4" s="1"/>
  <c r="P110" i="4" s="1"/>
  <c r="N86" i="4"/>
  <c r="N136" i="4"/>
  <c r="N140" i="4"/>
  <c r="M136" i="4"/>
  <c r="O136" i="4" s="1"/>
  <c r="P136" i="4" s="1"/>
  <c r="M45" i="4"/>
  <c r="M142" i="4"/>
  <c r="O142" i="4" s="1"/>
  <c r="P142" i="4" s="1"/>
  <c r="M111" i="4"/>
  <c r="O111" i="4" s="1"/>
  <c r="P111" i="4" s="1"/>
  <c r="N97" i="4"/>
  <c r="N149" i="4"/>
  <c r="M59" i="4"/>
  <c r="N81" i="4"/>
  <c r="M126" i="4"/>
  <c r="O126" i="4" s="1"/>
  <c r="P126" i="4" s="1"/>
  <c r="M66" i="4"/>
  <c r="N80" i="4"/>
  <c r="N66" i="4"/>
  <c r="M63" i="4"/>
  <c r="N129" i="4"/>
  <c r="M95" i="4"/>
  <c r="O95" i="4" s="1"/>
  <c r="M84" i="4"/>
  <c r="O84" i="4" s="1"/>
  <c r="M152" i="4"/>
  <c r="O152" i="4" s="1"/>
  <c r="P152" i="4" s="1"/>
  <c r="M114" i="4"/>
  <c r="O114" i="4" s="1"/>
  <c r="P114" i="4" s="1"/>
  <c r="N135" i="4"/>
  <c r="M86" i="4"/>
  <c r="O86" i="4" s="1"/>
  <c r="N123" i="4"/>
  <c r="M147" i="4"/>
  <c r="O147" i="4" s="1"/>
  <c r="P147" i="4" s="1"/>
  <c r="N111" i="4"/>
  <c r="N113" i="4"/>
  <c r="M118" i="4"/>
  <c r="O118" i="4" s="1"/>
  <c r="P118" i="4" s="1"/>
  <c r="M94" i="4"/>
  <c r="N30" i="4"/>
  <c r="M91" i="4"/>
  <c r="M39" i="4"/>
  <c r="O39" i="4" s="1"/>
  <c r="N41" i="4"/>
  <c r="M37" i="4"/>
  <c r="N130" i="4"/>
  <c r="N49" i="4"/>
  <c r="M83" i="4"/>
  <c r="N133" i="4"/>
  <c r="M97" i="4"/>
  <c r="O97" i="4" s="1"/>
  <c r="P97" i="4" s="1"/>
  <c r="N120" i="4"/>
  <c r="M130" i="4"/>
  <c r="O130" i="4" s="1"/>
  <c r="P130" i="4" s="1"/>
  <c r="N119" i="4"/>
  <c r="M108" i="4"/>
  <c r="O108" i="4" s="1"/>
  <c r="P108" i="4" s="1"/>
  <c r="M116" i="4"/>
  <c r="O116" i="4" s="1"/>
  <c r="P116" i="4" s="1"/>
  <c r="N112" i="4"/>
  <c r="N141" i="4"/>
  <c r="N58" i="4"/>
  <c r="M47" i="4"/>
  <c r="N47" i="4"/>
  <c r="M56" i="4"/>
  <c r="N110" i="4"/>
  <c r="M145" i="4"/>
  <c r="O145" i="4" s="1"/>
  <c r="P145" i="4" s="1"/>
  <c r="M109" i="4"/>
  <c r="O109" i="4" s="1"/>
  <c r="P109" i="4" s="1"/>
  <c r="M68" i="4"/>
  <c r="N88" i="4"/>
  <c r="M81" i="4"/>
  <c r="M73" i="4"/>
  <c r="N52" i="4"/>
  <c r="N37" i="4"/>
  <c r="M131" i="4"/>
  <c r="O131" i="4" s="1"/>
  <c r="P131" i="4" s="1"/>
  <c r="M124" i="4"/>
  <c r="O124" i="4" s="1"/>
  <c r="P124" i="4" s="1"/>
  <c r="M151" i="4"/>
  <c r="O151" i="4" s="1"/>
  <c r="P151" i="4" s="1"/>
  <c r="M51" i="4"/>
  <c r="O51" i="4" s="1"/>
  <c r="M60" i="4"/>
  <c r="N25" i="4"/>
  <c r="M22" i="4"/>
  <c r="M32" i="4"/>
  <c r="M41" i="4"/>
  <c r="M92" i="4"/>
  <c r="O92" i="4" s="1"/>
  <c r="N75" i="4"/>
  <c r="M65" i="4"/>
  <c r="N77" i="4"/>
  <c r="N54" i="4"/>
  <c r="N83" i="4"/>
  <c r="M149" i="4"/>
  <c r="O149" i="4" s="1"/>
  <c r="P149" i="4" s="1"/>
  <c r="N117" i="4"/>
  <c r="N137" i="4"/>
  <c r="N134" i="4"/>
  <c r="M69" i="4"/>
  <c r="M52" i="4"/>
  <c r="N94" i="4"/>
  <c r="M88" i="4"/>
  <c r="M90" i="4"/>
  <c r="O90" i="4" s="1"/>
  <c r="N153" i="4"/>
  <c r="M93" i="4"/>
  <c r="O93" i="4" s="1"/>
  <c r="M104" i="4"/>
  <c r="O104" i="4" s="1"/>
  <c r="P104" i="4" s="1"/>
  <c r="N70" i="4"/>
  <c r="M103" i="4"/>
  <c r="O103" i="4" s="1"/>
  <c r="P103" i="4" s="1"/>
  <c r="N72" i="4"/>
  <c r="N145" i="4"/>
  <c r="N69" i="4"/>
  <c r="M87" i="4"/>
  <c r="O87" i="4" s="1"/>
  <c r="N109" i="4"/>
  <c r="N91" i="4"/>
  <c r="M89" i="4"/>
  <c r="O89" i="4" s="1"/>
  <c r="M38" i="4"/>
  <c r="N127" i="4"/>
  <c r="N90" i="4"/>
  <c r="N71" i="4"/>
  <c r="N107" i="4"/>
  <c r="N79" i="4"/>
  <c r="N143" i="4"/>
  <c r="M27" i="4"/>
  <c r="O27" i="4" s="1"/>
  <c r="N40" i="4"/>
  <c r="N33" i="4"/>
  <c r="N43" i="4"/>
  <c r="N139" i="4"/>
  <c r="N45" i="4"/>
  <c r="N74" i="4"/>
  <c r="N147" i="4"/>
  <c r="N124" i="4"/>
  <c r="M140" i="4"/>
  <c r="O140" i="4" s="1"/>
  <c r="P140" i="4" s="1"/>
  <c r="M57" i="4"/>
  <c r="O57" i="4" s="1"/>
  <c r="N118" i="4"/>
  <c r="N73" i="4"/>
  <c r="M148" i="4"/>
  <c r="O148" i="4" s="1"/>
  <c r="P148" i="4" s="1"/>
  <c r="M46" i="4"/>
  <c r="N102" i="4"/>
  <c r="M112" i="4"/>
  <c r="O112" i="4" s="1"/>
  <c r="P112" i="4" s="1"/>
  <c r="N103" i="4"/>
  <c r="N68" i="4"/>
  <c r="N104" i="4"/>
  <c r="N48" i="4"/>
  <c r="M137" i="4"/>
  <c r="O137" i="4" s="1"/>
  <c r="P137" i="4" s="1"/>
  <c r="M133" i="4"/>
  <c r="O133" i="4" s="1"/>
  <c r="P133" i="4" s="1"/>
  <c r="M50" i="4"/>
  <c r="N61" i="4"/>
  <c r="N138" i="4"/>
  <c r="N63" i="4"/>
  <c r="N125" i="4"/>
  <c r="N82" i="4"/>
  <c r="M106" i="4"/>
  <c r="O106" i="4" s="1"/>
  <c r="P106" i="4" s="1"/>
  <c r="M31" i="4"/>
  <c r="O31" i="4" s="1"/>
  <c r="M40" i="4"/>
  <c r="M42" i="4"/>
  <c r="M49" i="4"/>
  <c r="M79" i="4"/>
  <c r="O79" i="4" s="1"/>
  <c r="M71" i="4"/>
  <c r="N148" i="4"/>
  <c r="N121" i="4"/>
  <c r="N144" i="4"/>
  <c r="O50" i="4" l="1"/>
  <c r="O47" i="4"/>
  <c r="O26" i="4"/>
  <c r="O13" i="4"/>
  <c r="O29" i="4"/>
  <c r="O46" i="4"/>
  <c r="O83" i="4"/>
  <c r="O94" i="4"/>
  <c r="O66" i="4"/>
  <c r="O45" i="4"/>
  <c r="O74" i="4"/>
  <c r="O76" i="4"/>
  <c r="O82" i="4"/>
  <c r="O88" i="4"/>
  <c r="O56" i="4"/>
  <c r="O59" i="4"/>
  <c r="O61" i="4"/>
  <c r="O58" i="4"/>
  <c r="O80" i="4"/>
  <c r="O48" i="4"/>
  <c r="O71" i="4"/>
  <c r="O73" i="4"/>
  <c r="O77" i="4"/>
  <c r="O38" i="4"/>
  <c r="O64" i="4"/>
  <c r="O49" i="4"/>
  <c r="O81" i="4"/>
  <c r="O91" i="4"/>
  <c r="O68" i="4"/>
  <c r="O75" i="4"/>
  <c r="O55" i="4"/>
  <c r="O67" i="4"/>
  <c r="O34" i="4"/>
  <c r="O62" i="4"/>
  <c r="O70" i="4"/>
  <c r="O52" i="4"/>
  <c r="O60" i="4"/>
  <c r="O63" i="4"/>
  <c r="O42" i="4"/>
  <c r="O69" i="4"/>
  <c r="O65" i="4"/>
  <c r="O54" i="4"/>
  <c r="O44" i="4"/>
  <c r="O53" i="4"/>
  <c r="O41" i="4"/>
  <c r="O33" i="4"/>
  <c r="O36" i="4"/>
  <c r="O35" i="4"/>
  <c r="O40" i="4"/>
  <c r="O32" i="4"/>
  <c r="O37" i="4"/>
  <c r="O30" i="4"/>
  <c r="O43" i="4"/>
  <c r="O6" i="4"/>
  <c r="O23" i="4"/>
  <c r="O22" i="4"/>
  <c r="O25" i="4"/>
  <c r="O24" i="4"/>
  <c r="O20" i="4"/>
  <c r="O19" i="4"/>
  <c r="O17" i="4"/>
  <c r="O15" i="4"/>
  <c r="O10" i="4"/>
  <c r="O9" i="4"/>
  <c r="O7" i="4"/>
  <c r="P79" i="4" s="1"/>
  <c r="O8" i="4"/>
  <c r="O11" i="4"/>
  <c r="O5" i="4"/>
  <c r="P84" i="4" s="1"/>
  <c r="O12" i="4"/>
  <c r="P83" i="4" l="1"/>
  <c r="P68" i="4"/>
  <c r="P75" i="4"/>
  <c r="P78" i="4"/>
  <c r="P92" i="4"/>
  <c r="P81" i="4"/>
  <c r="P88" i="4"/>
  <c r="P80" i="4"/>
  <c r="P82" i="4"/>
  <c r="P93" i="4"/>
  <c r="P86" i="4"/>
  <c r="P76" i="4"/>
  <c r="P95" i="4"/>
  <c r="P94" i="4"/>
  <c r="P87" i="4"/>
  <c r="P45" i="4"/>
  <c r="P91" i="4"/>
  <c r="P77" i="4"/>
  <c r="P74" i="4"/>
  <c r="P90" i="4"/>
  <c r="P73" i="4"/>
  <c r="P89" i="4"/>
  <c r="P85" i="4"/>
  <c r="P72" i="4"/>
  <c r="P53" i="4"/>
  <c r="P47" i="4"/>
  <c r="P61" i="4"/>
  <c r="P60" i="4"/>
  <c r="P57" i="4"/>
  <c r="P42" i="4"/>
  <c r="P54" i="4"/>
  <c r="P52" i="4"/>
  <c r="P48" i="4"/>
  <c r="P66" i="4"/>
  <c r="P63" i="4"/>
  <c r="P64" i="4"/>
  <c r="P51" i="4"/>
  <c r="P49" i="4"/>
  <c r="P58" i="4"/>
  <c r="P46" i="4"/>
  <c r="P44" i="4"/>
  <c r="P65" i="4"/>
  <c r="P56" i="4"/>
  <c r="P59" i="4"/>
  <c r="P67" i="4"/>
  <c r="P70" i="4"/>
  <c r="P62" i="4"/>
  <c r="P69" i="4"/>
  <c r="P71" i="4"/>
  <c r="P50" i="4"/>
  <c r="P55" i="4"/>
  <c r="P43" i="4"/>
  <c r="P41" i="4"/>
  <c r="P38" i="4"/>
  <c r="P30" i="4"/>
  <c r="P28" i="4"/>
  <c r="P33" i="4"/>
  <c r="P34" i="4"/>
  <c r="P37" i="4"/>
  <c r="P31" i="4"/>
  <c r="P39" i="4"/>
  <c r="P35" i="4"/>
  <c r="P36" i="4"/>
  <c r="P40" i="4"/>
  <c r="P32" i="4"/>
  <c r="P29" i="4"/>
  <c r="P26" i="4"/>
  <c r="P24" i="4"/>
  <c r="P23" i="4"/>
  <c r="P22" i="4"/>
  <c r="P25" i="4"/>
  <c r="P21" i="4"/>
  <c r="P27" i="4"/>
  <c r="P10" i="4"/>
  <c r="P8" i="4"/>
  <c r="P4" i="4"/>
  <c r="P19" i="4"/>
  <c r="P18" i="4"/>
  <c r="P15" i="4"/>
  <c r="P5" i="4"/>
  <c r="P13" i="4"/>
  <c r="P6" i="4"/>
  <c r="P11" i="4"/>
  <c r="P14" i="4"/>
  <c r="P16" i="4"/>
  <c r="P20" i="4"/>
  <c r="P12" i="4"/>
  <c r="P7" i="4"/>
  <c r="P17" i="4"/>
  <c r="P9" i="4"/>
  <c r="T11" i="4" l="1"/>
  <c r="U11" i="4" s="1"/>
  <c r="T10" i="4"/>
  <c r="W10" i="4" s="1"/>
  <c r="T21" i="4"/>
  <c r="W21" i="4" s="1"/>
  <c r="T13" i="4"/>
  <c r="W13" i="4" s="1"/>
  <c r="T12" i="4"/>
  <c r="T120" i="4"/>
  <c r="T54" i="4"/>
  <c r="T121" i="4"/>
  <c r="T116" i="4"/>
  <c r="T133" i="4"/>
  <c r="T38" i="4"/>
  <c r="T51" i="4"/>
  <c r="T27" i="4"/>
  <c r="T106" i="4"/>
  <c r="T90" i="4"/>
  <c r="T126" i="4"/>
  <c r="T135" i="4"/>
  <c r="T145" i="4"/>
  <c r="T53" i="4"/>
  <c r="T150" i="4"/>
  <c r="T29" i="4"/>
  <c r="T139" i="4"/>
  <c r="T125" i="4"/>
  <c r="T26" i="4"/>
  <c r="T107" i="4"/>
  <c r="T112" i="4"/>
  <c r="T41" i="4"/>
  <c r="T36" i="4"/>
  <c r="T110" i="4"/>
  <c r="T93" i="4"/>
  <c r="T95" i="4"/>
  <c r="T70" i="4"/>
  <c r="T57" i="4"/>
  <c r="T37" i="4"/>
  <c r="T43" i="4"/>
  <c r="T149" i="4"/>
  <c r="T153" i="4"/>
  <c r="T85" i="4"/>
  <c r="T35" i="4"/>
  <c r="T134" i="4"/>
  <c r="T77" i="4"/>
  <c r="T52" i="4"/>
  <c r="T140" i="4"/>
  <c r="T137" i="4"/>
  <c r="T94" i="4"/>
  <c r="T151" i="4"/>
  <c r="T143" i="4"/>
  <c r="T62" i="4"/>
  <c r="T33" i="4"/>
  <c r="T131" i="4"/>
  <c r="T72" i="4"/>
  <c r="T119" i="4"/>
  <c r="T69" i="4"/>
  <c r="T66" i="4"/>
  <c r="T45" i="4"/>
  <c r="T148" i="4"/>
  <c r="T114" i="4"/>
  <c r="T129" i="4"/>
  <c r="T24" i="4"/>
  <c r="T128" i="4"/>
  <c r="T84" i="4"/>
  <c r="T108" i="4"/>
  <c r="T130" i="4"/>
  <c r="T138" i="4"/>
  <c r="T63" i="4"/>
  <c r="T64" i="4"/>
  <c r="T67" i="4"/>
  <c r="T59" i="4"/>
  <c r="T109" i="4"/>
  <c r="T28" i="4"/>
  <c r="T71" i="4"/>
  <c r="T22" i="4"/>
  <c r="T58" i="4"/>
  <c r="T115" i="4"/>
  <c r="T147" i="4"/>
  <c r="T79" i="4"/>
  <c r="T118" i="4"/>
  <c r="T23" i="4"/>
  <c r="T103" i="4"/>
  <c r="T88" i="4"/>
  <c r="T60" i="4"/>
  <c r="T83" i="4"/>
  <c r="T104" i="4"/>
  <c r="T99" i="4"/>
  <c r="T144" i="4"/>
  <c r="T56" i="4"/>
  <c r="T50" i="4"/>
  <c r="T31" i="4"/>
  <c r="T146" i="4"/>
  <c r="X146" i="4" s="1"/>
  <c r="T18" i="4"/>
  <c r="T89" i="4"/>
  <c r="W89" i="4" s="1"/>
  <c r="T82" i="4"/>
  <c r="Y82" i="4" s="1"/>
  <c r="T142" i="4"/>
  <c r="X142" i="4" s="1"/>
  <c r="T74" i="4"/>
  <c r="U74" i="4" s="1"/>
  <c r="T47" i="4"/>
  <c r="U47" i="4" s="1"/>
  <c r="T87" i="4"/>
  <c r="W87" i="4" s="1"/>
  <c r="T65" i="4"/>
  <c r="Y65" i="4" s="1"/>
  <c r="T96" i="4"/>
  <c r="X96" i="4" s="1"/>
  <c r="T91" i="4"/>
  <c r="X91" i="4" s="1"/>
  <c r="T68" i="4"/>
  <c r="U68" i="4" s="1"/>
  <c r="T81" i="4"/>
  <c r="X81" i="4" s="1"/>
  <c r="T102" i="4"/>
  <c r="U102" i="4" s="1"/>
  <c r="T111" i="4"/>
  <c r="T49" i="4"/>
  <c r="T92" i="4"/>
  <c r="T117" i="4"/>
  <c r="T48" i="4"/>
  <c r="T124" i="4"/>
  <c r="T75" i="4"/>
  <c r="T136" i="4"/>
  <c r="T123" i="4"/>
  <c r="T122" i="4"/>
  <c r="T55" i="4"/>
  <c r="T152" i="4"/>
  <c r="T98" i="4"/>
  <c r="T73" i="4"/>
  <c r="T32" i="4"/>
  <c r="T101" i="4"/>
  <c r="T132" i="4"/>
  <c r="T100" i="4"/>
  <c r="T78" i="4"/>
  <c r="T127" i="4"/>
  <c r="T141" i="4"/>
  <c r="T16" i="4"/>
  <c r="T113" i="4"/>
  <c r="T15" i="4"/>
  <c r="T19" i="4"/>
  <c r="T20" i="4"/>
  <c r="T5" i="4"/>
  <c r="T8" i="4"/>
  <c r="T42" i="4"/>
  <c r="T86" i="4"/>
  <c r="T9" i="4"/>
  <c r="T34" i="4"/>
  <c r="T46" i="4"/>
  <c r="T4" i="4"/>
  <c r="T61" i="4"/>
  <c r="T76" i="4"/>
  <c r="T80" i="4"/>
  <c r="T14" i="4"/>
  <c r="T105" i="4"/>
  <c r="T17" i="4"/>
  <c r="T30" i="4"/>
  <c r="T44" i="4"/>
  <c r="T7" i="4"/>
  <c r="T40" i="4"/>
  <c r="T6" i="4"/>
  <c r="T39" i="4"/>
  <c r="T97" i="4"/>
  <c r="T25" i="4"/>
  <c r="AB4" i="4" l="1"/>
  <c r="AV4" i="4" s="1"/>
  <c r="Y146" i="4"/>
  <c r="X21" i="4"/>
  <c r="U21" i="4"/>
  <c r="U65" i="4"/>
  <c r="W65" i="4"/>
  <c r="X65" i="4"/>
  <c r="Y68" i="4"/>
  <c r="Y21" i="4"/>
  <c r="W47" i="4"/>
  <c r="X82" i="4"/>
  <c r="Y74" i="4"/>
  <c r="Y87" i="4"/>
  <c r="U87" i="4"/>
  <c r="U82" i="4"/>
  <c r="Y142" i="4"/>
  <c r="W82" i="4"/>
  <c r="X87" i="4"/>
  <c r="U10" i="4"/>
  <c r="X102" i="4"/>
  <c r="Y11" i="4"/>
  <c r="U142" i="4"/>
  <c r="X11" i="4"/>
  <c r="W11" i="4"/>
  <c r="U13" i="4"/>
  <c r="X13" i="4"/>
  <c r="Y13" i="4"/>
  <c r="Y10" i="4"/>
  <c r="Y96" i="4"/>
  <c r="X10" i="4"/>
  <c r="W91" i="4"/>
  <c r="U89" i="4"/>
  <c r="X89" i="4"/>
  <c r="Y89" i="4"/>
  <c r="W12" i="4"/>
  <c r="X12" i="4"/>
  <c r="Y12" i="4"/>
  <c r="U12" i="4"/>
  <c r="U132" i="4"/>
  <c r="W132" i="4"/>
  <c r="X132" i="4"/>
  <c r="Y132" i="4"/>
  <c r="U109" i="4"/>
  <c r="W109" i="4"/>
  <c r="Y109" i="4"/>
  <c r="X109" i="4"/>
  <c r="X29" i="4"/>
  <c r="U29" i="4"/>
  <c r="Y29" i="4"/>
  <c r="W29" i="4"/>
  <c r="X27" i="4"/>
  <c r="W27" i="4"/>
  <c r="U27" i="4"/>
  <c r="Y27" i="4"/>
  <c r="X25" i="4"/>
  <c r="U25" i="4"/>
  <c r="W25" i="4"/>
  <c r="Y25" i="4"/>
  <c r="X17" i="4"/>
  <c r="W17" i="4"/>
  <c r="Y17" i="4"/>
  <c r="U17" i="4"/>
  <c r="X34" i="4"/>
  <c r="W34" i="4"/>
  <c r="U34" i="4"/>
  <c r="Y34" i="4"/>
  <c r="U15" i="4"/>
  <c r="X15" i="4"/>
  <c r="W15" i="4"/>
  <c r="Y15" i="4"/>
  <c r="X101" i="4"/>
  <c r="U101" i="4"/>
  <c r="W101" i="4"/>
  <c r="Y101" i="4"/>
  <c r="W48" i="4"/>
  <c r="U48" i="4"/>
  <c r="Y48" i="4"/>
  <c r="X48" i="4"/>
  <c r="X68" i="4"/>
  <c r="W68" i="4"/>
  <c r="Y99" i="4"/>
  <c r="U99" i="4"/>
  <c r="W99" i="4"/>
  <c r="X99" i="4"/>
  <c r="Y79" i="4"/>
  <c r="W79" i="4"/>
  <c r="U79" i="4"/>
  <c r="X79" i="4"/>
  <c r="W59" i="4"/>
  <c r="U59" i="4"/>
  <c r="Y59" i="4"/>
  <c r="X59" i="4"/>
  <c r="U128" i="4"/>
  <c r="X128" i="4"/>
  <c r="W128" i="4"/>
  <c r="Y128" i="4"/>
  <c r="U119" i="4"/>
  <c r="X119" i="4"/>
  <c r="Y119" i="4"/>
  <c r="W119" i="4"/>
  <c r="X137" i="4"/>
  <c r="U137" i="4"/>
  <c r="Y137" i="4"/>
  <c r="W137" i="4"/>
  <c r="W149" i="4"/>
  <c r="Y149" i="4"/>
  <c r="X149" i="4"/>
  <c r="U149" i="4"/>
  <c r="Y36" i="4"/>
  <c r="X36" i="4"/>
  <c r="W36" i="4"/>
  <c r="U36" i="4"/>
  <c r="X150" i="4"/>
  <c r="Y150" i="4"/>
  <c r="W150" i="4"/>
  <c r="U150" i="4"/>
  <c r="Y51" i="4"/>
  <c r="W51" i="4"/>
  <c r="U51" i="4"/>
  <c r="X51" i="4"/>
  <c r="Y153" i="4"/>
  <c r="W153" i="4"/>
  <c r="U153" i="4"/>
  <c r="X153" i="4"/>
  <c r="W97" i="4"/>
  <c r="U97" i="4"/>
  <c r="X97" i="4"/>
  <c r="Y97" i="4"/>
  <c r="W105" i="4"/>
  <c r="Y105" i="4"/>
  <c r="U105" i="4"/>
  <c r="X105" i="4"/>
  <c r="W9" i="4"/>
  <c r="X9" i="4"/>
  <c r="Y9" i="4"/>
  <c r="U9" i="4"/>
  <c r="U113" i="4"/>
  <c r="Y113" i="4"/>
  <c r="W113" i="4"/>
  <c r="X113" i="4"/>
  <c r="W32" i="4"/>
  <c r="Y32" i="4"/>
  <c r="X32" i="4"/>
  <c r="U32" i="4"/>
  <c r="W55" i="4"/>
  <c r="X55" i="4"/>
  <c r="Y55" i="4"/>
  <c r="U55" i="4"/>
  <c r="Y117" i="4"/>
  <c r="U117" i="4"/>
  <c r="X117" i="4"/>
  <c r="W117" i="4"/>
  <c r="Y91" i="4"/>
  <c r="U91" i="4"/>
  <c r="Y104" i="4"/>
  <c r="X104" i="4"/>
  <c r="W104" i="4"/>
  <c r="U104" i="4"/>
  <c r="W147" i="4"/>
  <c r="Y147" i="4"/>
  <c r="X147" i="4"/>
  <c r="U147" i="4"/>
  <c r="Y67" i="4"/>
  <c r="X67" i="4"/>
  <c r="U67" i="4"/>
  <c r="W67" i="4"/>
  <c r="W24" i="4"/>
  <c r="X24" i="4"/>
  <c r="U24" i="4"/>
  <c r="Y24" i="4"/>
  <c r="Y72" i="4"/>
  <c r="X72" i="4"/>
  <c r="W72" i="4"/>
  <c r="U72" i="4"/>
  <c r="U140" i="4"/>
  <c r="W140" i="4"/>
  <c r="X140" i="4"/>
  <c r="Y140" i="4"/>
  <c r="X43" i="4"/>
  <c r="Y43" i="4"/>
  <c r="U43" i="4"/>
  <c r="W43" i="4"/>
  <c r="X41" i="4"/>
  <c r="U41" i="4"/>
  <c r="W41" i="4"/>
  <c r="Y41" i="4"/>
  <c r="U53" i="4"/>
  <c r="W53" i="4"/>
  <c r="X53" i="4"/>
  <c r="Y53" i="4"/>
  <c r="U38" i="4"/>
  <c r="Y38" i="4"/>
  <c r="W38" i="4"/>
  <c r="X38" i="4"/>
  <c r="W30" i="4"/>
  <c r="U30" i="4"/>
  <c r="Y30" i="4"/>
  <c r="X30" i="4"/>
  <c r="W144" i="4"/>
  <c r="U144" i="4"/>
  <c r="X144" i="4"/>
  <c r="Y144" i="4"/>
  <c r="Y110" i="4"/>
  <c r="U110" i="4"/>
  <c r="W110" i="4"/>
  <c r="X110" i="4"/>
  <c r="Y81" i="4"/>
  <c r="W81" i="4"/>
  <c r="X39" i="4"/>
  <c r="Y39" i="4"/>
  <c r="U39" i="4"/>
  <c r="W39" i="4"/>
  <c r="Y14" i="4"/>
  <c r="W14" i="4"/>
  <c r="U14" i="4"/>
  <c r="X14" i="4"/>
  <c r="Y86" i="4"/>
  <c r="U86" i="4"/>
  <c r="W86" i="4"/>
  <c r="X86" i="4"/>
  <c r="X16" i="4"/>
  <c r="Y16" i="4"/>
  <c r="U16" i="4"/>
  <c r="W16" i="4"/>
  <c r="Y73" i="4"/>
  <c r="W73" i="4"/>
  <c r="X73" i="4"/>
  <c r="U73" i="4"/>
  <c r="U122" i="4"/>
  <c r="W122" i="4"/>
  <c r="Y122" i="4"/>
  <c r="X122" i="4"/>
  <c r="Y92" i="4"/>
  <c r="U92" i="4"/>
  <c r="W92" i="4"/>
  <c r="X92" i="4"/>
  <c r="W96" i="4"/>
  <c r="U96" i="4"/>
  <c r="W18" i="4"/>
  <c r="X18" i="4"/>
  <c r="U18" i="4"/>
  <c r="Y18" i="4"/>
  <c r="Y83" i="4"/>
  <c r="U83" i="4"/>
  <c r="X83" i="4"/>
  <c r="W83" i="4"/>
  <c r="Y115" i="4"/>
  <c r="X115" i="4"/>
  <c r="W115" i="4"/>
  <c r="U115" i="4"/>
  <c r="W64" i="4"/>
  <c r="U64" i="4"/>
  <c r="Y64" i="4"/>
  <c r="X64" i="4"/>
  <c r="X129" i="4"/>
  <c r="W129" i="4"/>
  <c r="U129" i="4"/>
  <c r="Y129" i="4"/>
  <c r="Y131" i="4"/>
  <c r="U131" i="4"/>
  <c r="W131" i="4"/>
  <c r="X131" i="4"/>
  <c r="X52" i="4"/>
  <c r="U52" i="4"/>
  <c r="W52" i="4"/>
  <c r="Y52" i="4"/>
  <c r="U37" i="4"/>
  <c r="Y37" i="4"/>
  <c r="X37" i="4"/>
  <c r="W37" i="4"/>
  <c r="Y112" i="4"/>
  <c r="U112" i="4"/>
  <c r="X112" i="4"/>
  <c r="W112" i="4"/>
  <c r="X145" i="4"/>
  <c r="W145" i="4"/>
  <c r="U145" i="4"/>
  <c r="Y145" i="4"/>
  <c r="W133" i="4"/>
  <c r="X133" i="4"/>
  <c r="U133" i="4"/>
  <c r="Y133" i="4"/>
  <c r="X46" i="4"/>
  <c r="U46" i="4"/>
  <c r="Y46" i="4"/>
  <c r="W46" i="4"/>
  <c r="W19" i="4"/>
  <c r="U19" i="4"/>
  <c r="X19" i="4"/>
  <c r="Y19" i="4"/>
  <c r="W118" i="4"/>
  <c r="X118" i="4"/>
  <c r="Y118" i="4"/>
  <c r="U118" i="4"/>
  <c r="Y6" i="4"/>
  <c r="U6" i="4"/>
  <c r="X6" i="4"/>
  <c r="W6" i="4"/>
  <c r="Y80" i="4"/>
  <c r="U80" i="4"/>
  <c r="W80" i="4"/>
  <c r="X80" i="4"/>
  <c r="W42" i="4"/>
  <c r="X42" i="4"/>
  <c r="U42" i="4"/>
  <c r="Y42" i="4"/>
  <c r="U141" i="4"/>
  <c r="W141" i="4"/>
  <c r="X141" i="4"/>
  <c r="Y141" i="4"/>
  <c r="W98" i="4"/>
  <c r="X98" i="4"/>
  <c r="U98" i="4"/>
  <c r="Y98" i="4"/>
  <c r="W123" i="4"/>
  <c r="X123" i="4"/>
  <c r="Y123" i="4"/>
  <c r="U123" i="4"/>
  <c r="Y49" i="4"/>
  <c r="W49" i="4"/>
  <c r="X49" i="4"/>
  <c r="U49" i="4"/>
  <c r="W146" i="4"/>
  <c r="U146" i="4"/>
  <c r="U60" i="4"/>
  <c r="Y60" i="4"/>
  <c r="W60" i="4"/>
  <c r="X60" i="4"/>
  <c r="Y58" i="4"/>
  <c r="U58" i="4"/>
  <c r="X58" i="4"/>
  <c r="W58" i="4"/>
  <c r="U63" i="4"/>
  <c r="X63" i="4"/>
  <c r="Y63" i="4"/>
  <c r="W63" i="4"/>
  <c r="W114" i="4"/>
  <c r="U114" i="4"/>
  <c r="X114" i="4"/>
  <c r="Y114" i="4"/>
  <c r="W33" i="4"/>
  <c r="Y33" i="4"/>
  <c r="X33" i="4"/>
  <c r="U33" i="4"/>
  <c r="Y77" i="4"/>
  <c r="X77" i="4"/>
  <c r="W77" i="4"/>
  <c r="U77" i="4"/>
  <c r="X57" i="4"/>
  <c r="W57" i="4"/>
  <c r="Y57" i="4"/>
  <c r="U57" i="4"/>
  <c r="U107" i="4"/>
  <c r="X107" i="4"/>
  <c r="W107" i="4"/>
  <c r="Y107" i="4"/>
  <c r="Y135" i="4"/>
  <c r="W135" i="4"/>
  <c r="U135" i="4"/>
  <c r="X135" i="4"/>
  <c r="X116" i="4"/>
  <c r="W116" i="4"/>
  <c r="Y116" i="4"/>
  <c r="U116" i="4"/>
  <c r="W94" i="4"/>
  <c r="U94" i="4"/>
  <c r="X94" i="4"/>
  <c r="Y94" i="4"/>
  <c r="W142" i="4"/>
  <c r="X40" i="4"/>
  <c r="Y40" i="4"/>
  <c r="W40" i="4"/>
  <c r="U40" i="4"/>
  <c r="W76" i="4"/>
  <c r="U76" i="4"/>
  <c r="Y76" i="4"/>
  <c r="X76" i="4"/>
  <c r="U8" i="4"/>
  <c r="Y8" i="4"/>
  <c r="X8" i="4"/>
  <c r="W8" i="4"/>
  <c r="Y127" i="4"/>
  <c r="X127" i="4"/>
  <c r="W127" i="4"/>
  <c r="U127" i="4"/>
  <c r="X152" i="4"/>
  <c r="U152" i="4"/>
  <c r="W152" i="4"/>
  <c r="Y152" i="4"/>
  <c r="U136" i="4"/>
  <c r="Y136" i="4"/>
  <c r="X136" i="4"/>
  <c r="W136" i="4"/>
  <c r="Y111" i="4"/>
  <c r="W111" i="4"/>
  <c r="U111" i="4"/>
  <c r="X111" i="4"/>
  <c r="Y31" i="4"/>
  <c r="W31" i="4"/>
  <c r="U31" i="4"/>
  <c r="X31" i="4"/>
  <c r="X88" i="4"/>
  <c r="W88" i="4"/>
  <c r="U88" i="4"/>
  <c r="Y88" i="4"/>
  <c r="Y22" i="4"/>
  <c r="X22" i="4"/>
  <c r="W22" i="4"/>
  <c r="U22" i="4"/>
  <c r="X138" i="4"/>
  <c r="Y138" i="4"/>
  <c r="W138" i="4"/>
  <c r="U138" i="4"/>
  <c r="W148" i="4"/>
  <c r="Y148" i="4"/>
  <c r="X148" i="4"/>
  <c r="U148" i="4"/>
  <c r="Y62" i="4"/>
  <c r="U62" i="4"/>
  <c r="W62" i="4"/>
  <c r="X62" i="4"/>
  <c r="W134" i="4"/>
  <c r="U134" i="4"/>
  <c r="X134" i="4"/>
  <c r="Y134" i="4"/>
  <c r="U70" i="4"/>
  <c r="W70" i="4"/>
  <c r="Y70" i="4"/>
  <c r="X70" i="4"/>
  <c r="W26" i="4"/>
  <c r="U26" i="4"/>
  <c r="X26" i="4"/>
  <c r="Y26" i="4"/>
  <c r="Y126" i="4"/>
  <c r="X126" i="4"/>
  <c r="U126" i="4"/>
  <c r="W126" i="4"/>
  <c r="Y121" i="4"/>
  <c r="W121" i="4"/>
  <c r="U121" i="4"/>
  <c r="X121" i="4"/>
  <c r="W124" i="4"/>
  <c r="U124" i="4"/>
  <c r="X124" i="4"/>
  <c r="Y124" i="4"/>
  <c r="Y84" i="4"/>
  <c r="W84" i="4"/>
  <c r="U84" i="4"/>
  <c r="X84" i="4"/>
  <c r="W7" i="4"/>
  <c r="X7" i="4"/>
  <c r="U7" i="4"/>
  <c r="Y7" i="4"/>
  <c r="X61" i="4"/>
  <c r="Y61" i="4"/>
  <c r="W61" i="4"/>
  <c r="U61" i="4"/>
  <c r="U5" i="4"/>
  <c r="Y5" i="4"/>
  <c r="W5" i="4"/>
  <c r="X5" i="4"/>
  <c r="X78" i="4"/>
  <c r="W78" i="4"/>
  <c r="Y78" i="4"/>
  <c r="U78" i="4"/>
  <c r="W75" i="4"/>
  <c r="U75" i="4"/>
  <c r="Y75" i="4"/>
  <c r="X75" i="4"/>
  <c r="Y47" i="4"/>
  <c r="X47" i="4"/>
  <c r="U50" i="4"/>
  <c r="X50" i="4"/>
  <c r="W50" i="4"/>
  <c r="Y50" i="4"/>
  <c r="Y103" i="4"/>
  <c r="W103" i="4"/>
  <c r="X103" i="4"/>
  <c r="U103" i="4"/>
  <c r="Y71" i="4"/>
  <c r="X71" i="4"/>
  <c r="W71" i="4"/>
  <c r="U71" i="4"/>
  <c r="Y130" i="4"/>
  <c r="X130" i="4"/>
  <c r="U130" i="4"/>
  <c r="W130" i="4"/>
  <c r="W45" i="4"/>
  <c r="Y45" i="4"/>
  <c r="U45" i="4"/>
  <c r="X45" i="4"/>
  <c r="Y143" i="4"/>
  <c r="X143" i="4"/>
  <c r="U143" i="4"/>
  <c r="W143" i="4"/>
  <c r="U35" i="4"/>
  <c r="X35" i="4"/>
  <c r="Y35" i="4"/>
  <c r="W35" i="4"/>
  <c r="W95" i="4"/>
  <c r="X95" i="4"/>
  <c r="U95" i="4"/>
  <c r="Y95" i="4"/>
  <c r="U125" i="4"/>
  <c r="Y125" i="4"/>
  <c r="X125" i="4"/>
  <c r="W125" i="4"/>
  <c r="W90" i="4"/>
  <c r="U90" i="4"/>
  <c r="Y90" i="4"/>
  <c r="X90" i="4"/>
  <c r="U54" i="4"/>
  <c r="Y54" i="4"/>
  <c r="W54" i="4"/>
  <c r="X54" i="4"/>
  <c r="X69" i="4"/>
  <c r="W69" i="4"/>
  <c r="U69" i="4"/>
  <c r="Y69" i="4"/>
  <c r="U81" i="4"/>
  <c r="X44" i="4"/>
  <c r="W44" i="4"/>
  <c r="Y44" i="4"/>
  <c r="U44" i="4"/>
  <c r="W4" i="4"/>
  <c r="U4" i="4"/>
  <c r="S5" i="4" s="1"/>
  <c r="X4" i="4"/>
  <c r="Y4" i="4"/>
  <c r="W20" i="4"/>
  <c r="X20" i="4"/>
  <c r="U20" i="4"/>
  <c r="Y20" i="4"/>
  <c r="U100" i="4"/>
  <c r="X100" i="4"/>
  <c r="Y100" i="4"/>
  <c r="W100" i="4"/>
  <c r="W102" i="4"/>
  <c r="Y102" i="4"/>
  <c r="X74" i="4"/>
  <c r="W74" i="4"/>
  <c r="X56" i="4"/>
  <c r="Y56" i="4"/>
  <c r="W56" i="4"/>
  <c r="U56" i="4"/>
  <c r="U23" i="4"/>
  <c r="W23" i="4"/>
  <c r="X23" i="4"/>
  <c r="Y23" i="4"/>
  <c r="Y28" i="4"/>
  <c r="X28" i="4"/>
  <c r="W28" i="4"/>
  <c r="U28" i="4"/>
  <c r="W108" i="4"/>
  <c r="U108" i="4"/>
  <c r="X108" i="4"/>
  <c r="Y108" i="4"/>
  <c r="W66" i="4"/>
  <c r="X66" i="4"/>
  <c r="U66" i="4"/>
  <c r="Y66" i="4"/>
  <c r="W151" i="4"/>
  <c r="X151" i="4"/>
  <c r="U151" i="4"/>
  <c r="Y151" i="4"/>
  <c r="W85" i="4"/>
  <c r="Y85" i="4"/>
  <c r="X85" i="4"/>
  <c r="U85" i="4"/>
  <c r="X93" i="4"/>
  <c r="Y93" i="4"/>
  <c r="U93" i="4"/>
  <c r="W93" i="4"/>
  <c r="Y139" i="4"/>
  <c r="X139" i="4"/>
  <c r="U139" i="4"/>
  <c r="W139" i="4"/>
  <c r="X106" i="4"/>
  <c r="U106" i="4"/>
  <c r="Y106" i="4"/>
  <c r="W106" i="4"/>
  <c r="W120" i="4"/>
  <c r="X120" i="4"/>
  <c r="Y120" i="4"/>
  <c r="U120" i="4"/>
  <c r="S6" i="4" l="1"/>
  <c r="S7" i="4" s="1"/>
  <c r="S8" i="4" s="1"/>
  <c r="S9" i="4" s="1"/>
  <c r="S10" i="4" s="1"/>
  <c r="S11" i="4" s="1"/>
  <c r="S12" i="4" s="1"/>
  <c r="S13" i="4" s="1"/>
  <c r="S14" i="4" s="1"/>
  <c r="S15" i="4" s="1"/>
  <c r="S16" i="4" s="1"/>
  <c r="S17" i="4" s="1"/>
  <c r="S18" i="4" s="1"/>
  <c r="S19" i="4" s="1"/>
  <c r="S20" i="4" s="1"/>
  <c r="S21" i="4" s="1"/>
  <c r="S22" i="4" s="1"/>
  <c r="S23" i="4" s="1"/>
  <c r="S24" i="4" s="1"/>
  <c r="S25" i="4" s="1"/>
  <c r="S26" i="4" s="1"/>
  <c r="S27" i="4" s="1"/>
  <c r="AG4" i="4"/>
  <c r="L12" i="6" s="1"/>
  <c r="AD4" i="4"/>
  <c r="AF4" i="4"/>
  <c r="O12" i="6"/>
  <c r="AU4" i="4"/>
  <c r="R12" i="6" s="1"/>
  <c r="AH4" i="4" l="1"/>
  <c r="M12" i="6"/>
  <c r="AE4" i="4"/>
  <c r="AI4" i="4"/>
  <c r="S28" i="4"/>
  <c r="S29" i="4" s="1"/>
  <c r="S30" i="4" s="1"/>
  <c r="S31" i="4" s="1"/>
  <c r="S32" i="4" s="1"/>
  <c r="S33" i="4" s="1"/>
  <c r="S34" i="4" s="1"/>
  <c r="S35" i="4" s="1"/>
  <c r="S36" i="4" s="1"/>
  <c r="S37" i="4" s="1"/>
  <c r="S38" i="4" s="1"/>
  <c r="S39" i="4" s="1"/>
  <c r="S40" i="4" s="1"/>
  <c r="S41" i="4" s="1"/>
  <c r="S42" i="4" s="1"/>
  <c r="S43" i="4" s="1"/>
  <c r="S44" i="4" s="1"/>
  <c r="S45" i="4" s="1"/>
  <c r="S46" i="4" s="1"/>
  <c r="S47" i="4" s="1"/>
  <c r="S48" i="4" s="1"/>
  <c r="S49" i="4" s="1"/>
  <c r="S50" i="4" s="1"/>
  <c r="S51" i="4" s="1"/>
  <c r="S52" i="4" s="1"/>
  <c r="S53" i="4" s="1"/>
  <c r="S54" i="4" s="1"/>
  <c r="S55" i="4" s="1"/>
  <c r="S56" i="4" s="1"/>
  <c r="S57" i="4" s="1"/>
  <c r="S58" i="4" s="1"/>
  <c r="S59" i="4" s="1"/>
  <c r="S60" i="4" s="1"/>
  <c r="S61" i="4" s="1"/>
  <c r="S62" i="4" s="1"/>
  <c r="S63" i="4" s="1"/>
  <c r="S64" i="4" s="1"/>
  <c r="S65" i="4" s="1"/>
  <c r="S66" i="4" s="1"/>
  <c r="S67" i="4" s="1"/>
  <c r="S68" i="4" s="1"/>
  <c r="S69" i="4" s="1"/>
  <c r="S70" i="4" s="1"/>
  <c r="S71" i="4" s="1"/>
  <c r="S72" i="4" s="1"/>
  <c r="S73" i="4" s="1"/>
  <c r="S74" i="4" s="1"/>
  <c r="S75" i="4" s="1"/>
  <c r="S76" i="4" s="1"/>
  <c r="S77" i="4" s="1"/>
  <c r="S78" i="4" s="1"/>
  <c r="S79" i="4" l="1"/>
  <c r="S80" i="4" s="1"/>
  <c r="S81" i="4" s="1"/>
  <c r="S82" i="4" s="1"/>
  <c r="S83" i="4" s="1"/>
  <c r="S84" i="4" s="1"/>
  <c r="S85" i="4" s="1"/>
  <c r="S86" i="4" s="1"/>
  <c r="S87" i="4" s="1"/>
  <c r="S88" i="4" s="1"/>
  <c r="S89" i="4" s="1"/>
  <c r="S90" i="4" s="1"/>
  <c r="S91" i="4" s="1"/>
  <c r="S92" i="4" s="1"/>
  <c r="S93" i="4" s="1"/>
  <c r="S94" i="4" s="1"/>
  <c r="S95" i="4" s="1"/>
  <c r="S96" i="4" s="1"/>
  <c r="S97" i="4" s="1"/>
  <c r="S98" i="4" s="1"/>
  <c r="S99" i="4" s="1"/>
  <c r="S100" i="4" s="1"/>
  <c r="S101" i="4" s="1"/>
  <c r="S102" i="4" s="1"/>
  <c r="S103" i="4" s="1"/>
  <c r="S104" i="4" s="1"/>
  <c r="S105" i="4" s="1"/>
  <c r="S106" i="4" s="1"/>
  <c r="S107" i="4" s="1"/>
  <c r="S108" i="4" s="1"/>
  <c r="S109" i="4" s="1"/>
  <c r="S110" i="4" s="1"/>
  <c r="S111" i="4" s="1"/>
  <c r="S112" i="4" s="1"/>
  <c r="S113" i="4" s="1"/>
  <c r="S114" i="4" s="1"/>
  <c r="S115" i="4" s="1"/>
  <c r="S116" i="4" s="1"/>
  <c r="S117" i="4" s="1"/>
  <c r="S118" i="4" s="1"/>
  <c r="S119" i="4" s="1"/>
  <c r="S120" i="4" s="1"/>
  <c r="S121" i="4" s="1"/>
  <c r="S122" i="4" s="1"/>
  <c r="S123" i="4" s="1"/>
  <c r="S124" i="4" s="1"/>
  <c r="S125" i="4" s="1"/>
  <c r="S126" i="4" s="1"/>
  <c r="S127" i="4" s="1"/>
  <c r="S128" i="4" s="1"/>
  <c r="S129" i="4" s="1"/>
  <c r="S130" i="4" s="1"/>
  <c r="S131" i="4" s="1"/>
  <c r="S132" i="4" s="1"/>
  <c r="S133" i="4" s="1"/>
  <c r="S134" i="4" s="1"/>
  <c r="S135" i="4" s="1"/>
  <c r="S136" i="4" s="1"/>
  <c r="S137" i="4" s="1"/>
  <c r="S138" i="4" s="1"/>
  <c r="S139" i="4" s="1"/>
  <c r="S140" i="4" s="1"/>
  <c r="S141" i="4" s="1"/>
  <c r="S142" i="4" s="1"/>
  <c r="S143" i="4" s="1"/>
  <c r="S144" i="4" s="1"/>
  <c r="S145" i="4" s="1"/>
  <c r="S146" i="4" s="1"/>
  <c r="S147" i="4" s="1"/>
  <c r="S148" i="4" s="1"/>
  <c r="S149" i="4" s="1"/>
  <c r="S150" i="4" s="1"/>
  <c r="S151" i="4" s="1"/>
  <c r="S152" i="4" s="1"/>
  <c r="S153" i="4" s="1"/>
  <c r="AJ4" i="4"/>
  <c r="AB160" i="4" l="1" a="1"/>
  <c r="AB160" i="4" s="1"/>
  <c r="AB73" i="4" a="1"/>
  <c r="AB73" i="4" s="1"/>
  <c r="AB69" i="4" a="1"/>
  <c r="AB69" i="4" s="1"/>
  <c r="AB116" i="4" a="1"/>
  <c r="AB116" i="4" s="1"/>
  <c r="AB14" i="4" a="1"/>
  <c r="AB14" i="4" s="1"/>
  <c r="AB83" i="4" a="1"/>
  <c r="AB83" i="4" s="1"/>
  <c r="AB178" i="4" a="1"/>
  <c r="AB178" i="4" s="1"/>
  <c r="AB50" i="4" a="1"/>
  <c r="AB50" i="4" s="1"/>
  <c r="AB152" i="4" a="1"/>
  <c r="AB152" i="4" s="1"/>
  <c r="AB185" i="4" a="1"/>
  <c r="AB185" i="4" s="1"/>
  <c r="AB119" i="4" a="1"/>
  <c r="AB119" i="4" s="1"/>
  <c r="AB166" i="4" a="1"/>
  <c r="AB166" i="4" s="1"/>
  <c r="AB38" i="4" a="1"/>
  <c r="AB38" i="4" s="1"/>
  <c r="AB61" i="4" a="1"/>
  <c r="AB61" i="4" s="1"/>
  <c r="AB75" i="4" a="1"/>
  <c r="AB75" i="4" s="1"/>
  <c r="AB122" i="4" a="1"/>
  <c r="AB122" i="4" s="1"/>
  <c r="AB32" i="4" a="1"/>
  <c r="AB32" i="4" s="1"/>
  <c r="AB174" i="4" a="1"/>
  <c r="AB174" i="4" s="1"/>
  <c r="AB129" i="4" a="1"/>
  <c r="AB129" i="4" s="1"/>
  <c r="AB180" i="4" a="1"/>
  <c r="AB180" i="4" s="1"/>
  <c r="AB52" i="4" a="1"/>
  <c r="AB52" i="4" s="1"/>
  <c r="AB147" i="4" a="1"/>
  <c r="AB147" i="4" s="1"/>
  <c r="AB201" i="4" a="1"/>
  <c r="AB201" i="4" s="1"/>
  <c r="AB114" i="4" a="1"/>
  <c r="AB114" i="4" s="1"/>
  <c r="AB19" i="4" a="1"/>
  <c r="AB19" i="4" s="1"/>
  <c r="AB88" i="4" a="1"/>
  <c r="AB88" i="4" s="1"/>
  <c r="AB183" i="4" a="1"/>
  <c r="AB183" i="4" s="1"/>
  <c r="AB55" i="4" a="1"/>
  <c r="AB55" i="4" s="1"/>
  <c r="AB6" i="4" a="1"/>
  <c r="AB6" i="4" s="1"/>
  <c r="AV6" i="4" s="1"/>
  <c r="O14" i="6" s="1"/>
  <c r="AB102" i="4" a="1"/>
  <c r="AB102" i="4" s="1"/>
  <c r="AB189" i="4" a="1"/>
  <c r="AB189" i="4" s="1"/>
  <c r="AB125" i="4" a="1"/>
  <c r="AB125" i="4" s="1"/>
  <c r="AB89" i="4" a="1"/>
  <c r="AB89" i="4" s="1"/>
  <c r="AB172" i="4" a="1"/>
  <c r="AB172" i="4" s="1"/>
  <c r="AB108" i="4" a="1"/>
  <c r="AB108" i="4" s="1"/>
  <c r="AB44" i="4" a="1"/>
  <c r="AB44" i="4" s="1"/>
  <c r="AB203" i="4" a="1"/>
  <c r="AB203" i="4" s="1"/>
  <c r="AB139" i="4" a="1"/>
  <c r="AB139" i="4" s="1"/>
  <c r="AB145" i="4" a="1"/>
  <c r="AB145" i="4" s="1"/>
  <c r="AB170" i="4" a="1"/>
  <c r="AB170" i="4" s="1"/>
  <c r="AB106" i="4" a="1"/>
  <c r="AB106" i="4" s="1"/>
  <c r="AB42" i="4" a="1"/>
  <c r="AB42" i="4" s="1"/>
  <c r="AB11" i="4" a="1"/>
  <c r="AB11" i="4" s="1"/>
  <c r="AB144" i="4" a="1"/>
  <c r="AB144" i="4" s="1"/>
  <c r="AB80" i="4" a="1"/>
  <c r="AB80" i="4" s="1"/>
  <c r="AB113" i="4" a="1"/>
  <c r="AB113" i="4" s="1"/>
  <c r="AB175" i="4" a="1"/>
  <c r="AB175" i="4" s="1"/>
  <c r="AB111" i="4" a="1"/>
  <c r="AB111" i="4" s="1"/>
  <c r="AB47" i="4" a="1"/>
  <c r="AB47" i="4" s="1"/>
  <c r="AB25" i="4" a="1"/>
  <c r="AB25" i="4" s="1"/>
  <c r="AB158" i="4" a="1"/>
  <c r="AB158" i="4" s="1"/>
  <c r="AB94" i="4" a="1"/>
  <c r="AB94" i="4" s="1"/>
  <c r="AB30" i="4" a="1"/>
  <c r="AB30" i="4" s="1"/>
  <c r="AB181" i="4" a="1"/>
  <c r="AB181" i="4" s="1"/>
  <c r="AB117" i="4" a="1"/>
  <c r="AB117" i="4" s="1"/>
  <c r="AB53" i="4" a="1"/>
  <c r="AB53" i="4" s="1"/>
  <c r="AB41" i="4" a="1"/>
  <c r="AB41" i="4" s="1"/>
  <c r="AB164" i="4" a="1"/>
  <c r="AB164" i="4" s="1"/>
  <c r="AB100" i="4" a="1"/>
  <c r="AB100" i="4" s="1"/>
  <c r="AB36" i="4" a="1"/>
  <c r="AB36" i="4" s="1"/>
  <c r="AB195" i="4" a="1"/>
  <c r="AB195" i="4" s="1"/>
  <c r="AB131" i="4" a="1"/>
  <c r="AB131" i="4" s="1"/>
  <c r="AB67" i="4" a="1"/>
  <c r="AB67" i="4" s="1"/>
  <c r="AB96" i="4" a="1"/>
  <c r="AB96" i="4" s="1"/>
  <c r="AB46" i="4" a="1"/>
  <c r="AB46" i="4" s="1"/>
  <c r="AB97" i="4" a="1"/>
  <c r="AB97" i="4" s="1"/>
  <c r="AB200" i="4" a="1"/>
  <c r="AB200" i="4" s="1"/>
  <c r="AB167" i="4" a="1"/>
  <c r="AB167" i="4" s="1"/>
  <c r="AB156" i="4" a="1"/>
  <c r="AB156" i="4" s="1"/>
  <c r="AB186" i="4" a="1"/>
  <c r="AB186" i="4" s="1"/>
  <c r="AB191" i="4" a="1"/>
  <c r="AB191" i="4" s="1"/>
  <c r="AB110" i="4" a="1"/>
  <c r="AB110" i="4" s="1"/>
  <c r="AB162" i="4" a="1"/>
  <c r="AB162" i="4" s="1"/>
  <c r="AB136" i="4" a="1"/>
  <c r="AB136" i="4" s="1"/>
  <c r="AB103" i="4" a="1"/>
  <c r="AB103" i="4" s="1"/>
  <c r="AB150" i="4" a="1"/>
  <c r="AB150" i="4" s="1"/>
  <c r="AB173" i="4" a="1"/>
  <c r="AB173" i="4" s="1"/>
  <c r="AB23" i="4" a="1"/>
  <c r="AB23" i="4" s="1"/>
  <c r="AB59" i="4" a="1"/>
  <c r="AB59" i="4" s="1"/>
  <c r="AB128" i="4" a="1"/>
  <c r="AB128" i="4" s="1"/>
  <c r="AB142" i="4" a="1"/>
  <c r="AB142" i="4" s="1"/>
  <c r="AB84" i="4" a="1"/>
  <c r="AB84" i="4" s="1"/>
  <c r="AB82" i="4" a="1"/>
  <c r="AB82" i="4" s="1"/>
  <c r="AB87" i="4" a="1"/>
  <c r="AB87" i="4" s="1"/>
  <c r="AB70" i="4" a="1"/>
  <c r="AB70" i="4" s="1"/>
  <c r="AB24" i="4" a="1"/>
  <c r="AB24" i="4" s="1"/>
  <c r="AB157" i="4" a="1"/>
  <c r="AB157" i="4" s="1"/>
  <c r="AB93" i="4" a="1"/>
  <c r="AB93" i="4" s="1"/>
  <c r="AB29" i="4" a="1"/>
  <c r="AB29" i="4" s="1"/>
  <c r="AB7" i="4" a="1"/>
  <c r="AB7" i="4" s="1"/>
  <c r="AB140" i="4" a="1"/>
  <c r="AB140" i="4" s="1"/>
  <c r="AB76" i="4" a="1"/>
  <c r="AB76" i="4" s="1"/>
  <c r="AB137" i="4" a="1"/>
  <c r="AB137" i="4" s="1"/>
  <c r="AB171" i="4" a="1"/>
  <c r="AB171" i="4" s="1"/>
  <c r="AB107" i="4" a="1"/>
  <c r="AB107" i="4" s="1"/>
  <c r="AB43" i="4" a="1"/>
  <c r="AB43" i="4" s="1"/>
  <c r="AB58" i="4" a="1"/>
  <c r="AB58" i="4" s="1"/>
  <c r="AB127" i="4" a="1"/>
  <c r="AB127" i="4" s="1"/>
  <c r="AB133" i="4" a="1"/>
  <c r="AB133" i="4" s="1"/>
  <c r="AB34" i="4" a="1"/>
  <c r="AB34" i="4" s="1"/>
  <c r="AB72" i="4" a="1"/>
  <c r="AB72" i="4" s="1"/>
  <c r="AB39" i="4" a="1"/>
  <c r="AB39" i="4" s="1"/>
  <c r="AB86" i="4" a="1"/>
  <c r="AB86" i="4" s="1"/>
  <c r="AB45" i="4" a="1"/>
  <c r="AB45" i="4" s="1"/>
  <c r="AB28" i="4" a="1"/>
  <c r="AB28" i="4" s="1"/>
  <c r="AB187" i="4" a="1"/>
  <c r="AB187" i="4" s="1"/>
  <c r="AB21" i="4" a="1"/>
  <c r="AB21" i="4" s="1"/>
  <c r="AB90" i="4" a="1"/>
  <c r="AB90" i="4" s="1"/>
  <c r="AB192" i="4" a="1"/>
  <c r="AB192" i="4" s="1"/>
  <c r="AB26" i="4" a="1"/>
  <c r="AB26" i="4" s="1"/>
  <c r="AB31" i="4" a="1"/>
  <c r="AB31" i="4" s="1"/>
  <c r="AB78" i="4" a="1"/>
  <c r="AB78" i="4" s="1"/>
  <c r="AB33" i="4" a="1"/>
  <c r="AB33" i="4" s="1"/>
  <c r="AB101" i="4" a="1"/>
  <c r="AB101" i="4" s="1"/>
  <c r="AB148" i="4" a="1"/>
  <c r="AB148" i="4" s="1"/>
  <c r="AB179" i="4" a="1"/>
  <c r="AB179" i="4" s="1"/>
  <c r="AB115" i="4" a="1"/>
  <c r="AB115" i="4" s="1"/>
  <c r="AB146" i="4" a="1"/>
  <c r="AB146" i="4" s="1"/>
  <c r="AB184" i="4" a="1"/>
  <c r="AB184" i="4" s="1"/>
  <c r="AB56" i="4" a="1"/>
  <c r="AB56" i="4" s="1"/>
  <c r="AB151" i="4" a="1"/>
  <c r="AB151" i="4" s="1"/>
  <c r="AB12" i="4" a="1"/>
  <c r="AB12" i="4" s="1"/>
  <c r="AB134" i="4" a="1"/>
  <c r="AB134" i="4" s="1"/>
  <c r="AB202" i="4" a="1"/>
  <c r="AB202" i="4" s="1"/>
  <c r="AB138" i="4" a="1"/>
  <c r="AB138" i="4" s="1"/>
  <c r="AB74" i="4" a="1"/>
  <c r="AB74" i="4" s="1"/>
  <c r="AB121" i="4" a="1"/>
  <c r="AB121" i="4" s="1"/>
  <c r="AB176" i="4" a="1"/>
  <c r="AB176" i="4" s="1"/>
  <c r="AB112" i="4" a="1"/>
  <c r="AB112" i="4" s="1"/>
  <c r="AB48" i="4" a="1"/>
  <c r="AB48" i="4" s="1"/>
  <c r="AB10" i="4" a="1"/>
  <c r="AB10" i="4" s="1"/>
  <c r="AB143" i="4" a="1"/>
  <c r="AB143" i="4" s="1"/>
  <c r="AB79" i="4" a="1"/>
  <c r="AB79" i="4" s="1"/>
  <c r="AB169" i="4" a="1"/>
  <c r="AB169" i="4" s="1"/>
  <c r="AB190" i="4" a="1"/>
  <c r="AB190" i="4" s="1"/>
  <c r="AB126" i="4" a="1"/>
  <c r="AB126" i="4" s="1"/>
  <c r="AB62" i="4" a="1"/>
  <c r="AB62" i="4" s="1"/>
  <c r="AB16" i="4" a="1"/>
  <c r="AB16" i="4" s="1"/>
  <c r="AB149" i="4" a="1"/>
  <c r="AB149" i="4" s="1"/>
  <c r="AU149" i="4" s="1"/>
  <c r="R157" i="6" s="1"/>
  <c r="AB85" i="4" a="1"/>
  <c r="AB85" i="4" s="1"/>
  <c r="AB20" i="4" a="1"/>
  <c r="AB20" i="4" s="1"/>
  <c r="AB196" i="4" a="1"/>
  <c r="AB196" i="4" s="1"/>
  <c r="AB132" i="4" a="1"/>
  <c r="AB132" i="4" s="1"/>
  <c r="AB68" i="4" a="1"/>
  <c r="AB68" i="4" s="1"/>
  <c r="AB49" i="4" a="1"/>
  <c r="AB49" i="4" s="1"/>
  <c r="AB163" i="4" a="1"/>
  <c r="AB163" i="4" s="1"/>
  <c r="AB99" i="4" a="1"/>
  <c r="AB99" i="4" s="1"/>
  <c r="AB35" i="4" a="1"/>
  <c r="AB35" i="4" s="1"/>
  <c r="AB57" i="4" a="1"/>
  <c r="AB57" i="4" s="1"/>
  <c r="AB63" i="4" a="1"/>
  <c r="AB63" i="4" s="1"/>
  <c r="AB197" i="4" a="1"/>
  <c r="AB197" i="4" s="1"/>
  <c r="AB98" i="4" a="1"/>
  <c r="AB98" i="4" s="1"/>
  <c r="AB65" i="4" a="1"/>
  <c r="AB65" i="4" s="1"/>
  <c r="AB17" i="4" a="1"/>
  <c r="AB17" i="4" s="1"/>
  <c r="AB153" i="4" a="1"/>
  <c r="AB153" i="4" s="1"/>
  <c r="AB109" i="4" a="1"/>
  <c r="AB109" i="4" s="1"/>
  <c r="AB92" i="4" a="1"/>
  <c r="AB92" i="4" s="1"/>
  <c r="AB123" i="4" a="1"/>
  <c r="AB123" i="4" s="1"/>
  <c r="AB154" i="4" a="1"/>
  <c r="AB154" i="4" s="1"/>
  <c r="AB5" i="4" a="1"/>
  <c r="AB5" i="4" s="1"/>
  <c r="AB64" i="4" a="1"/>
  <c r="AB64" i="4" s="1"/>
  <c r="AB159" i="4" a="1"/>
  <c r="AB159" i="4" s="1"/>
  <c r="AB95" i="4" a="1"/>
  <c r="AB95" i="4" s="1"/>
  <c r="AB9" i="4" a="1"/>
  <c r="AB9" i="4" s="1"/>
  <c r="AB165" i="4" a="1"/>
  <c r="AB165" i="4" s="1"/>
  <c r="AB37" i="4" a="1"/>
  <c r="AB37" i="4" s="1"/>
  <c r="AB15" i="4" a="1"/>
  <c r="AB15" i="4" s="1"/>
  <c r="AB193" i="4" a="1"/>
  <c r="AB193" i="4" s="1"/>
  <c r="AB51" i="4" a="1"/>
  <c r="AB51" i="4" s="1"/>
  <c r="AB13" i="4" a="1"/>
  <c r="AB13" i="4" s="1"/>
  <c r="AB161" i="4" a="1"/>
  <c r="AB161" i="4" s="1"/>
  <c r="AB120" i="4" a="1"/>
  <c r="AB120" i="4" s="1"/>
  <c r="AB18" i="4" a="1"/>
  <c r="AB18" i="4" s="1"/>
  <c r="AB198" i="4" a="1"/>
  <c r="AB198" i="4" s="1"/>
  <c r="AB194" i="4" a="1"/>
  <c r="AB194" i="4" s="1"/>
  <c r="AB130" i="4" a="1"/>
  <c r="AB130" i="4" s="1"/>
  <c r="AB66" i="4" a="1"/>
  <c r="AB66" i="4" s="1"/>
  <c r="AB81" i="4" a="1"/>
  <c r="AB81" i="4" s="1"/>
  <c r="AB168" i="4" a="1"/>
  <c r="AB168" i="4" s="1"/>
  <c r="AB104" i="4" a="1"/>
  <c r="AB104" i="4" s="1"/>
  <c r="AB40" i="4" a="1"/>
  <c r="AB40" i="4" s="1"/>
  <c r="AB199" i="4" a="1"/>
  <c r="AB199" i="4" s="1"/>
  <c r="AB135" i="4" a="1"/>
  <c r="AB135" i="4" s="1"/>
  <c r="AB71" i="4" a="1"/>
  <c r="AB71" i="4" s="1"/>
  <c r="AB105" i="4" a="1"/>
  <c r="AB105" i="4" s="1"/>
  <c r="AB182" i="4" a="1"/>
  <c r="AB182" i="4" s="1"/>
  <c r="AB118" i="4" a="1"/>
  <c r="AB118" i="4" s="1"/>
  <c r="AB54" i="4" a="1"/>
  <c r="AB54" i="4" s="1"/>
  <c r="AB8" i="4" a="1"/>
  <c r="AB8" i="4" s="1"/>
  <c r="AB141" i="4" a="1"/>
  <c r="AB141" i="4" s="1"/>
  <c r="AB77" i="4" a="1"/>
  <c r="AB77" i="4" s="1"/>
  <c r="AB177" i="4" a="1"/>
  <c r="AB177" i="4" s="1"/>
  <c r="AB188" i="4" a="1"/>
  <c r="AB188" i="4" s="1"/>
  <c r="AB124" i="4" a="1"/>
  <c r="AB124" i="4" s="1"/>
  <c r="AB60" i="4" a="1"/>
  <c r="AB60" i="4" s="1"/>
  <c r="AB22" i="4" a="1"/>
  <c r="AB22" i="4" s="1"/>
  <c r="AB155" i="4" a="1"/>
  <c r="AB155" i="4" s="1"/>
  <c r="AB91" i="4" a="1"/>
  <c r="AB91" i="4" s="1"/>
  <c r="AB27" i="4" a="1"/>
  <c r="AB27" i="4" s="1"/>
  <c r="AK4" i="4"/>
  <c r="AM4" i="4" s="1"/>
  <c r="AO4" i="4" s="1"/>
  <c r="AP4" i="4" s="1"/>
  <c r="AV149" i="4" l="1"/>
  <c r="O157" i="6" s="1"/>
  <c r="AG149" i="4"/>
  <c r="L157" i="6" s="1"/>
  <c r="AF149" i="4"/>
  <c r="AD149" i="4"/>
  <c r="AV118" i="4"/>
  <c r="O126" i="6" s="1"/>
  <c r="AV151" i="4"/>
  <c r="O159" i="6" s="1"/>
  <c r="AV86" i="4"/>
  <c r="O94" i="6" s="1"/>
  <c r="AV58" i="4"/>
  <c r="O66" i="6" s="1"/>
  <c r="AV54" i="4"/>
  <c r="O62" i="6" s="1"/>
  <c r="AV69" i="4"/>
  <c r="O77" i="6" s="1"/>
  <c r="AV23" i="4"/>
  <c r="O31" i="6" s="1"/>
  <c r="AV25" i="4"/>
  <c r="O33" i="6" s="1"/>
  <c r="AV173" i="4"/>
  <c r="O181" i="6" s="1"/>
  <c r="AV110" i="4"/>
  <c r="O118" i="6" s="1"/>
  <c r="AV128" i="4"/>
  <c r="O136" i="6" s="1"/>
  <c r="AV169" i="4"/>
  <c r="O177" i="6" s="1"/>
  <c r="AV186" i="4"/>
  <c r="O194" i="6" s="1"/>
  <c r="AV79" i="4"/>
  <c r="O87" i="6" s="1"/>
  <c r="AV103" i="4"/>
  <c r="O111" i="6" s="1"/>
  <c r="AV59" i="4"/>
  <c r="O67" i="6" s="1"/>
  <c r="AV13" i="4"/>
  <c r="O21" i="6" s="1"/>
  <c r="AV57" i="4"/>
  <c r="O65" i="6" s="1"/>
  <c r="AV11" i="4"/>
  <c r="O19" i="6" s="1"/>
  <c r="AV32" i="4"/>
  <c r="O40" i="6" s="1"/>
  <c r="AV47" i="4"/>
  <c r="O55" i="6" s="1"/>
  <c r="AV91" i="4"/>
  <c r="O99" i="6" s="1"/>
  <c r="AV34" i="4"/>
  <c r="O42" i="6" s="1"/>
  <c r="AV88" i="4"/>
  <c r="O96" i="6" s="1"/>
  <c r="AV17" i="4"/>
  <c r="O25" i="6" s="1"/>
  <c r="AV15" i="4"/>
  <c r="O23" i="6" s="1"/>
  <c r="AV159" i="4"/>
  <c r="O167" i="6" s="1"/>
  <c r="AV122" i="4"/>
  <c r="O130" i="6" s="1"/>
  <c r="AV94" i="4"/>
  <c r="O102" i="6" s="1"/>
  <c r="AV56" i="4"/>
  <c r="O64" i="6" s="1"/>
  <c r="AV64" i="4"/>
  <c r="O72" i="6" s="1"/>
  <c r="AV44" i="4"/>
  <c r="O52" i="6" s="1"/>
  <c r="AV72" i="4"/>
  <c r="O80" i="6" s="1"/>
  <c r="AV78" i="4"/>
  <c r="O86" i="6" s="1"/>
  <c r="AV29" i="4"/>
  <c r="O37" i="6" s="1"/>
  <c r="AV127" i="4"/>
  <c r="O135" i="6" s="1"/>
  <c r="AV137" i="4"/>
  <c r="O145" i="6" s="1"/>
  <c r="AV107" i="4"/>
  <c r="O115" i="6" s="1"/>
  <c r="AV175" i="4"/>
  <c r="O183" i="6" s="1"/>
  <c r="AV177" i="4"/>
  <c r="O185" i="6" s="1"/>
  <c r="AV113" i="4"/>
  <c r="O121" i="6" s="1"/>
  <c r="AV98" i="4"/>
  <c r="O106" i="6" s="1"/>
  <c r="AV55" i="4"/>
  <c r="O63" i="6" s="1"/>
  <c r="AV45" i="4"/>
  <c r="O53" i="6" s="1"/>
  <c r="AV18" i="4"/>
  <c r="O26" i="6" s="1"/>
  <c r="AV75" i="4"/>
  <c r="O83" i="6" s="1"/>
  <c r="AV85" i="4"/>
  <c r="O93" i="6" s="1"/>
  <c r="AV61" i="4"/>
  <c r="O69" i="6" s="1"/>
  <c r="AV24" i="4"/>
  <c r="O32" i="6" s="1"/>
  <c r="AV35" i="4"/>
  <c r="O43" i="6" s="1"/>
  <c r="AV81" i="4"/>
  <c r="O89" i="6" s="1"/>
  <c r="AV30" i="4"/>
  <c r="O38" i="6" s="1"/>
  <c r="AV38" i="4"/>
  <c r="O46" i="6" s="1"/>
  <c r="AV142" i="4"/>
  <c r="O150" i="6" s="1"/>
  <c r="AV150" i="4"/>
  <c r="O158" i="6" s="1"/>
  <c r="AV129" i="4"/>
  <c r="O137" i="6" s="1"/>
  <c r="AV201" i="4"/>
  <c r="O209" i="6" s="1"/>
  <c r="AV164" i="4"/>
  <c r="O172" i="6" s="1"/>
  <c r="AV121" i="4"/>
  <c r="O129" i="6" s="1"/>
  <c r="AV170" i="4"/>
  <c r="O178" i="6" s="1"/>
  <c r="AV104" i="4"/>
  <c r="O112" i="6" s="1"/>
  <c r="AV102" i="4"/>
  <c r="O110" i="6" s="1"/>
  <c r="AV22" i="4"/>
  <c r="O30" i="6" s="1"/>
  <c r="AV52" i="4"/>
  <c r="O60" i="6" s="1"/>
  <c r="AV36" i="4"/>
  <c r="O44" i="6" s="1"/>
  <c r="AV89" i="4"/>
  <c r="O97" i="6" s="1"/>
  <c r="AV71" i="4"/>
  <c r="O79" i="6" s="1"/>
  <c r="AV16" i="4"/>
  <c r="O24" i="6" s="1"/>
  <c r="AV12" i="4"/>
  <c r="O20" i="6" s="1"/>
  <c r="AV106" i="4"/>
  <c r="O114" i="6" s="1"/>
  <c r="AV14" i="4"/>
  <c r="O22" i="6" s="1"/>
  <c r="AV152" i="4"/>
  <c r="O160" i="6" s="1"/>
  <c r="AV193" i="4"/>
  <c r="O201" i="6" s="1"/>
  <c r="AV154" i="4"/>
  <c r="O162" i="6" s="1"/>
  <c r="AV174" i="4"/>
  <c r="O182" i="6" s="1"/>
  <c r="AV153" i="4"/>
  <c r="O161" i="6" s="1"/>
  <c r="AV185" i="4"/>
  <c r="O193" i="6" s="1"/>
  <c r="AV84" i="4"/>
  <c r="O92" i="6" s="1"/>
  <c r="AV100" i="4"/>
  <c r="O108" i="6" s="1"/>
  <c r="AV37" i="4"/>
  <c r="O45" i="6" s="1"/>
  <c r="AV46" i="4"/>
  <c r="O54" i="6" s="1"/>
  <c r="AV70" i="4"/>
  <c r="O78" i="6" s="1"/>
  <c r="AV21" i="4"/>
  <c r="O29" i="6" s="1"/>
  <c r="AV97" i="4"/>
  <c r="O105" i="6" s="1"/>
  <c r="AV62" i="4"/>
  <c r="O70" i="6" s="1"/>
  <c r="AV73" i="4"/>
  <c r="O81" i="6" s="1"/>
  <c r="AV60" i="4"/>
  <c r="O68" i="6" s="1"/>
  <c r="AV42" i="4"/>
  <c r="O50" i="6" s="1"/>
  <c r="AV50" i="4"/>
  <c r="O58" i="6" s="1"/>
  <c r="AV125" i="4"/>
  <c r="O133" i="6" s="1"/>
  <c r="AV138" i="4"/>
  <c r="O146" i="6" s="1"/>
  <c r="AV184" i="4"/>
  <c r="O192" i="6" s="1"/>
  <c r="AV161" i="4"/>
  <c r="O169" i="6" s="1"/>
  <c r="AV158" i="4"/>
  <c r="O166" i="6" s="1"/>
  <c r="AV101" i="4"/>
  <c r="O109" i="6" s="1"/>
  <c r="AV90" i="4"/>
  <c r="O98" i="6" s="1"/>
  <c r="AV95" i="4"/>
  <c r="O103" i="6" s="1"/>
  <c r="AV105" i="4"/>
  <c r="O113" i="6" s="1"/>
  <c r="AV31" i="4"/>
  <c r="O39" i="6" s="1"/>
  <c r="AV74" i="4"/>
  <c r="O82" i="6" s="1"/>
  <c r="AV53" i="4"/>
  <c r="O61" i="6" s="1"/>
  <c r="AV41" i="4"/>
  <c r="O49" i="6" s="1"/>
  <c r="AV8" i="4"/>
  <c r="O16" i="6" s="1"/>
  <c r="AV9" i="4"/>
  <c r="O17" i="6" s="1"/>
  <c r="AV40" i="4"/>
  <c r="O48" i="6" s="1"/>
  <c r="AV43" i="4"/>
  <c r="O51" i="6" s="1"/>
  <c r="AV51" i="4"/>
  <c r="O59" i="6" s="1"/>
  <c r="AV166" i="4"/>
  <c r="O174" i="6" s="1"/>
  <c r="AV144" i="4"/>
  <c r="O152" i="6" s="1"/>
  <c r="AV197" i="4"/>
  <c r="O205" i="6" s="1"/>
  <c r="AV202" i="4"/>
  <c r="O210" i="6" s="1"/>
  <c r="AV145" i="4"/>
  <c r="O153" i="6" s="1"/>
  <c r="AV80" i="4"/>
  <c r="O88" i="6" s="1"/>
  <c r="AV76" i="4"/>
  <c r="O84" i="6" s="1"/>
  <c r="AV99" i="4"/>
  <c r="O107" i="6" s="1"/>
  <c r="AV66" i="4"/>
  <c r="O74" i="6" s="1"/>
  <c r="AV49" i="4"/>
  <c r="O57" i="6" s="1"/>
  <c r="AV7" i="4"/>
  <c r="O15" i="6" s="1"/>
  <c r="AV39" i="4"/>
  <c r="O47" i="6" s="1"/>
  <c r="AV27" i="4"/>
  <c r="O35" i="6" s="1"/>
  <c r="AV65" i="4"/>
  <c r="O73" i="6" s="1"/>
  <c r="AV19" i="4"/>
  <c r="O27" i="6" s="1"/>
  <c r="AV77" i="4"/>
  <c r="O85" i="6" s="1"/>
  <c r="AV20" i="4"/>
  <c r="O28" i="6" s="1"/>
  <c r="AV28" i="4"/>
  <c r="O36" i="6" s="1"/>
  <c r="AV111" i="4"/>
  <c r="O119" i="6" s="1"/>
  <c r="AV189" i="4"/>
  <c r="O197" i="6" s="1"/>
  <c r="AV183" i="4"/>
  <c r="O191" i="6" s="1"/>
  <c r="AV182" i="4"/>
  <c r="O190" i="6" s="1"/>
  <c r="AV132" i="4"/>
  <c r="O140" i="6" s="1"/>
  <c r="AV82" i="4"/>
  <c r="O90" i="6" s="1"/>
  <c r="AV87" i="4"/>
  <c r="O95" i="6" s="1"/>
  <c r="AV96" i="4"/>
  <c r="O104" i="6" s="1"/>
  <c r="AV67" i="4"/>
  <c r="O75" i="6" s="1"/>
  <c r="AV10" i="4"/>
  <c r="O18" i="6" s="1"/>
  <c r="AV93" i="4"/>
  <c r="O101" i="6" s="1"/>
  <c r="AV63" i="4"/>
  <c r="O71" i="6" s="1"/>
  <c r="AV83" i="4"/>
  <c r="O91" i="6" s="1"/>
  <c r="AV26" i="4"/>
  <c r="O34" i="6" s="1"/>
  <c r="AV33" i="4"/>
  <c r="O41" i="6" s="1"/>
  <c r="AV48" i="4"/>
  <c r="O56" i="6" s="1"/>
  <c r="AV68" i="4"/>
  <c r="O76" i="6" s="1"/>
  <c r="AV92" i="4"/>
  <c r="O100" i="6" s="1"/>
  <c r="AQ4" i="4"/>
  <c r="AD57" i="4"/>
  <c r="M65" i="6" s="1"/>
  <c r="AU156" i="4"/>
  <c r="R164" i="6" s="1"/>
  <c r="AV156" i="4"/>
  <c r="O164" i="6" s="1"/>
  <c r="AU167" i="4"/>
  <c r="R175" i="6" s="1"/>
  <c r="AV167" i="4"/>
  <c r="O175" i="6" s="1"/>
  <c r="AU120" i="4"/>
  <c r="R128" i="6" s="1"/>
  <c r="AV120" i="4"/>
  <c r="O128" i="6" s="1"/>
  <c r="AU181" i="4"/>
  <c r="R189" i="6" s="1"/>
  <c r="AV181" i="4"/>
  <c r="O189" i="6" s="1"/>
  <c r="AU203" i="4"/>
  <c r="R211" i="6" s="1"/>
  <c r="AV203" i="4"/>
  <c r="O211" i="6" s="1"/>
  <c r="AU135" i="4"/>
  <c r="R143" i="6" s="1"/>
  <c r="AV135" i="4"/>
  <c r="O143" i="6" s="1"/>
  <c r="AU124" i="4"/>
  <c r="R132" i="6" s="1"/>
  <c r="AV124" i="4"/>
  <c r="O132" i="6" s="1"/>
  <c r="AU140" i="4"/>
  <c r="R148" i="6" s="1"/>
  <c r="AV140" i="4"/>
  <c r="O148" i="6" s="1"/>
  <c r="AU192" i="4"/>
  <c r="R200" i="6" s="1"/>
  <c r="AV192" i="4"/>
  <c r="O200" i="6" s="1"/>
  <c r="AU116" i="4"/>
  <c r="R124" i="6" s="1"/>
  <c r="AV116" i="4"/>
  <c r="O124" i="6" s="1"/>
  <c r="AU196" i="4"/>
  <c r="R204" i="6" s="1"/>
  <c r="AV196" i="4"/>
  <c r="O204" i="6" s="1"/>
  <c r="AU165" i="4"/>
  <c r="R173" i="6" s="1"/>
  <c r="AV165" i="4"/>
  <c r="O173" i="6" s="1"/>
  <c r="AU117" i="4"/>
  <c r="R125" i="6" s="1"/>
  <c r="AV117" i="4"/>
  <c r="O125" i="6" s="1"/>
  <c r="AU109" i="4"/>
  <c r="R117" i="6" s="1"/>
  <c r="AV109" i="4"/>
  <c r="O117" i="6" s="1"/>
  <c r="AU5" i="4"/>
  <c r="R13" i="6" s="1"/>
  <c r="AV5" i="4"/>
  <c r="O13" i="6" s="1"/>
  <c r="AU157" i="4"/>
  <c r="R165" i="6" s="1"/>
  <c r="AV157" i="4"/>
  <c r="O165" i="6" s="1"/>
  <c r="AU134" i="4"/>
  <c r="R142" i="6" s="1"/>
  <c r="AV134" i="4"/>
  <c r="O142" i="6" s="1"/>
  <c r="AU133" i="4"/>
  <c r="R141" i="6" s="1"/>
  <c r="AV133" i="4"/>
  <c r="O141" i="6" s="1"/>
  <c r="AU155" i="4"/>
  <c r="R163" i="6" s="1"/>
  <c r="AV155" i="4"/>
  <c r="O163" i="6" s="1"/>
  <c r="AU130" i="4"/>
  <c r="R138" i="6" s="1"/>
  <c r="AV130" i="4"/>
  <c r="O138" i="6" s="1"/>
  <c r="AU180" i="4"/>
  <c r="R188" i="6" s="1"/>
  <c r="AV180" i="4"/>
  <c r="O188" i="6" s="1"/>
  <c r="AU178" i="4"/>
  <c r="R186" i="6" s="1"/>
  <c r="AV178" i="4"/>
  <c r="O186" i="6" s="1"/>
  <c r="AU131" i="4"/>
  <c r="R139" i="6" s="1"/>
  <c r="AV131" i="4"/>
  <c r="O139" i="6" s="1"/>
  <c r="AU115" i="4"/>
  <c r="R123" i="6" s="1"/>
  <c r="AV115" i="4"/>
  <c r="O123" i="6" s="1"/>
  <c r="AU126" i="4"/>
  <c r="R134" i="6" s="1"/>
  <c r="AV126" i="4"/>
  <c r="O134" i="6" s="1"/>
  <c r="AU198" i="4"/>
  <c r="R206" i="6" s="1"/>
  <c r="AV198" i="4"/>
  <c r="O206" i="6" s="1"/>
  <c r="AU136" i="4"/>
  <c r="R144" i="6" s="1"/>
  <c r="AV136" i="4"/>
  <c r="O144" i="6" s="1"/>
  <c r="AU114" i="4"/>
  <c r="R122" i="6" s="1"/>
  <c r="AV114" i="4"/>
  <c r="O122" i="6" s="1"/>
  <c r="AU146" i="4"/>
  <c r="R154" i="6" s="1"/>
  <c r="AV146" i="4"/>
  <c r="O154" i="6" s="1"/>
  <c r="AU108" i="4"/>
  <c r="R116" i="6" s="1"/>
  <c r="AV108" i="4"/>
  <c r="O116" i="6" s="1"/>
  <c r="AU188" i="4"/>
  <c r="R196" i="6" s="1"/>
  <c r="AV188" i="4"/>
  <c r="O196" i="6" s="1"/>
  <c r="AU190" i="4"/>
  <c r="R198" i="6" s="1"/>
  <c r="AV190" i="4"/>
  <c r="O198" i="6" s="1"/>
  <c r="AU119" i="4"/>
  <c r="R127" i="6" s="1"/>
  <c r="AV119" i="4"/>
  <c r="O127" i="6" s="1"/>
  <c r="AU141" i="4"/>
  <c r="R149" i="6" s="1"/>
  <c r="AV141" i="4"/>
  <c r="O149" i="6" s="1"/>
  <c r="AU123" i="4"/>
  <c r="R131" i="6" s="1"/>
  <c r="AV123" i="4"/>
  <c r="O131" i="6" s="1"/>
  <c r="AU160" i="4"/>
  <c r="R168" i="6" s="1"/>
  <c r="AV160" i="4"/>
  <c r="O168" i="6" s="1"/>
  <c r="AU172" i="4"/>
  <c r="R180" i="6" s="1"/>
  <c r="AV172" i="4"/>
  <c r="O180" i="6" s="1"/>
  <c r="AU143" i="4"/>
  <c r="R151" i="6" s="1"/>
  <c r="AV143" i="4"/>
  <c r="O151" i="6" s="1"/>
  <c r="AU168" i="4"/>
  <c r="R176" i="6" s="1"/>
  <c r="AV168" i="4"/>
  <c r="O176" i="6" s="1"/>
  <c r="AU200" i="4"/>
  <c r="R208" i="6" s="1"/>
  <c r="AV200" i="4"/>
  <c r="O208" i="6" s="1"/>
  <c r="AU176" i="4"/>
  <c r="R184" i="6" s="1"/>
  <c r="AV176" i="4"/>
  <c r="O184" i="6" s="1"/>
  <c r="AU112" i="4"/>
  <c r="R120" i="6" s="1"/>
  <c r="AV112" i="4"/>
  <c r="O120" i="6" s="1"/>
  <c r="AU162" i="4"/>
  <c r="R170" i="6" s="1"/>
  <c r="AV162" i="4"/>
  <c r="O170" i="6" s="1"/>
  <c r="AU187" i="4"/>
  <c r="R195" i="6" s="1"/>
  <c r="AV187" i="4"/>
  <c r="O195" i="6" s="1"/>
  <c r="AU139" i="4"/>
  <c r="R147" i="6" s="1"/>
  <c r="AV139" i="4"/>
  <c r="O147" i="6" s="1"/>
  <c r="AU194" i="4"/>
  <c r="R202" i="6" s="1"/>
  <c r="AV194" i="4"/>
  <c r="O202" i="6" s="1"/>
  <c r="AU147" i="4"/>
  <c r="R155" i="6" s="1"/>
  <c r="AV147" i="4"/>
  <c r="O155" i="6" s="1"/>
  <c r="AU171" i="4"/>
  <c r="R179" i="6" s="1"/>
  <c r="AV171" i="4"/>
  <c r="O179" i="6" s="1"/>
  <c r="AU195" i="4"/>
  <c r="R203" i="6" s="1"/>
  <c r="AV195" i="4"/>
  <c r="O203" i="6" s="1"/>
  <c r="AU179" i="4"/>
  <c r="R187" i="6" s="1"/>
  <c r="AV179" i="4"/>
  <c r="O187" i="6" s="1"/>
  <c r="AU199" i="4"/>
  <c r="R207" i="6" s="1"/>
  <c r="AV199" i="4"/>
  <c r="O207" i="6" s="1"/>
  <c r="AU163" i="4"/>
  <c r="R171" i="6" s="1"/>
  <c r="AV163" i="4"/>
  <c r="O171" i="6" s="1"/>
  <c r="AU191" i="4"/>
  <c r="R199" i="6" s="1"/>
  <c r="AV191" i="4"/>
  <c r="O199" i="6" s="1"/>
  <c r="AU148" i="4"/>
  <c r="R156" i="6" s="1"/>
  <c r="AV148" i="4"/>
  <c r="O156" i="6" s="1"/>
  <c r="AF6" i="4"/>
  <c r="AU6" i="4"/>
  <c r="R14" i="6" s="1"/>
  <c r="AF153" i="4"/>
  <c r="AU153" i="4"/>
  <c r="R161" i="6" s="1"/>
  <c r="AD84" i="4"/>
  <c r="AI84" i="4" s="1"/>
  <c r="AU84" i="4"/>
  <c r="R92" i="6" s="1"/>
  <c r="AF100" i="4"/>
  <c r="AU100" i="4"/>
  <c r="R108" i="6" s="1"/>
  <c r="AG22" i="4"/>
  <c r="L30" i="6" s="1"/>
  <c r="AU22" i="4"/>
  <c r="R30" i="6" s="1"/>
  <c r="AG52" i="4"/>
  <c r="L60" i="6" s="1"/>
  <c r="AU52" i="4"/>
  <c r="R60" i="6" s="1"/>
  <c r="AG36" i="4"/>
  <c r="L44" i="6" s="1"/>
  <c r="AU36" i="4"/>
  <c r="R44" i="6" s="1"/>
  <c r="AD89" i="4"/>
  <c r="AE89" i="4" s="1"/>
  <c r="AU89" i="4"/>
  <c r="R97" i="6" s="1"/>
  <c r="AF71" i="4"/>
  <c r="AU71" i="4"/>
  <c r="R79" i="6" s="1"/>
  <c r="AD16" i="4"/>
  <c r="AE16" i="4" s="1"/>
  <c r="AU16" i="4"/>
  <c r="R24" i="6" s="1"/>
  <c r="AF12" i="4"/>
  <c r="AU12" i="4"/>
  <c r="R20" i="6" s="1"/>
  <c r="AF106" i="4"/>
  <c r="AU106" i="4"/>
  <c r="R114" i="6" s="1"/>
  <c r="AF14" i="4"/>
  <c r="AU14" i="4"/>
  <c r="R22" i="6" s="1"/>
  <c r="AD152" i="4"/>
  <c r="M160" i="6" s="1"/>
  <c r="AU152" i="4"/>
  <c r="R160" i="6" s="1"/>
  <c r="AD185" i="4"/>
  <c r="AE185" i="4" s="1"/>
  <c r="AU185" i="4"/>
  <c r="R193" i="6" s="1"/>
  <c r="AD184" i="4"/>
  <c r="AI184" i="4" s="1"/>
  <c r="AU184" i="4"/>
  <c r="R192" i="6" s="1"/>
  <c r="AD193" i="4"/>
  <c r="M201" i="6" s="1"/>
  <c r="AU193" i="4"/>
  <c r="R201" i="6" s="1"/>
  <c r="AG138" i="4"/>
  <c r="L146" i="6" s="1"/>
  <c r="AU138" i="4"/>
  <c r="R146" i="6" s="1"/>
  <c r="AF73" i="4"/>
  <c r="AU73" i="4"/>
  <c r="R81" i="6" s="1"/>
  <c r="AF50" i="4"/>
  <c r="AU50" i="4"/>
  <c r="R58" i="6" s="1"/>
  <c r="AG111" i="4"/>
  <c r="L119" i="6" s="1"/>
  <c r="AU111" i="4"/>
  <c r="R119" i="6" s="1"/>
  <c r="AG189" i="4"/>
  <c r="L197" i="6" s="1"/>
  <c r="AU189" i="4"/>
  <c r="R197" i="6" s="1"/>
  <c r="AF183" i="4"/>
  <c r="AU183" i="4"/>
  <c r="R191" i="6" s="1"/>
  <c r="AF182" i="4"/>
  <c r="AU182" i="4"/>
  <c r="R190" i="6" s="1"/>
  <c r="AG132" i="4"/>
  <c r="L140" i="6" s="1"/>
  <c r="AU132" i="4"/>
  <c r="R140" i="6" s="1"/>
  <c r="AG82" i="4"/>
  <c r="L90" i="6" s="1"/>
  <c r="AU82" i="4"/>
  <c r="R90" i="6" s="1"/>
  <c r="AF87" i="4"/>
  <c r="AU87" i="4"/>
  <c r="R95" i="6" s="1"/>
  <c r="AD96" i="4"/>
  <c r="M104" i="6" s="1"/>
  <c r="AU96" i="4"/>
  <c r="R104" i="6" s="1"/>
  <c r="AD66" i="4"/>
  <c r="AI66" i="4" s="1"/>
  <c r="AU66" i="4"/>
  <c r="R74" i="6" s="1"/>
  <c r="AD49" i="4"/>
  <c r="M57" i="6" s="1"/>
  <c r="AU49" i="4"/>
  <c r="R57" i="6" s="1"/>
  <c r="AF7" i="4"/>
  <c r="AU7" i="4"/>
  <c r="R15" i="6" s="1"/>
  <c r="AG39" i="4"/>
  <c r="L47" i="6" s="1"/>
  <c r="AU39" i="4"/>
  <c r="R47" i="6" s="1"/>
  <c r="AD27" i="4"/>
  <c r="AE27" i="4" s="1"/>
  <c r="AU27" i="4"/>
  <c r="R35" i="6" s="1"/>
  <c r="AD65" i="4"/>
  <c r="AE65" i="4" s="1"/>
  <c r="AU65" i="4"/>
  <c r="R73" i="6" s="1"/>
  <c r="AF19" i="4"/>
  <c r="AU19" i="4"/>
  <c r="R27" i="6" s="1"/>
  <c r="AD77" i="4"/>
  <c r="AE77" i="4" s="1"/>
  <c r="AU77" i="4"/>
  <c r="R85" i="6" s="1"/>
  <c r="AG20" i="4"/>
  <c r="L28" i="6" s="1"/>
  <c r="AU20" i="4"/>
  <c r="R28" i="6" s="1"/>
  <c r="AG28" i="4"/>
  <c r="L36" i="6" s="1"/>
  <c r="AU28" i="4"/>
  <c r="R36" i="6" s="1"/>
  <c r="AG158" i="4"/>
  <c r="L166" i="6" s="1"/>
  <c r="AU158" i="4"/>
  <c r="R166" i="6" s="1"/>
  <c r="AF90" i="4"/>
  <c r="AU90" i="4"/>
  <c r="R98" i="6" s="1"/>
  <c r="AD37" i="4"/>
  <c r="AI37" i="4" s="1"/>
  <c r="AU37" i="4"/>
  <c r="R45" i="6" s="1"/>
  <c r="AF70" i="4"/>
  <c r="AU70" i="4"/>
  <c r="R78" i="6" s="1"/>
  <c r="AD21" i="4"/>
  <c r="AE21" i="4" s="1"/>
  <c r="AU21" i="4"/>
  <c r="R29" i="6" s="1"/>
  <c r="AG62" i="4"/>
  <c r="L70" i="6" s="1"/>
  <c r="AU62" i="4"/>
  <c r="R70" i="6" s="1"/>
  <c r="AF60" i="4"/>
  <c r="AU60" i="4"/>
  <c r="R68" i="6" s="1"/>
  <c r="AF42" i="4"/>
  <c r="AU42" i="4"/>
  <c r="R50" i="6" s="1"/>
  <c r="AF166" i="4"/>
  <c r="AU166" i="4"/>
  <c r="R174" i="6" s="1"/>
  <c r="AF202" i="4"/>
  <c r="AU202" i="4"/>
  <c r="R210" i="6" s="1"/>
  <c r="AG76" i="4"/>
  <c r="L84" i="6" s="1"/>
  <c r="AU76" i="4"/>
  <c r="R84" i="6" s="1"/>
  <c r="AF105" i="4"/>
  <c r="AU105" i="4"/>
  <c r="R113" i="6" s="1"/>
  <c r="AF53" i="4"/>
  <c r="AU53" i="4"/>
  <c r="R61" i="6" s="1"/>
  <c r="AD8" i="4"/>
  <c r="AE8" i="4" s="1"/>
  <c r="AU8" i="4"/>
  <c r="R16" i="6" s="1"/>
  <c r="AD43" i="4"/>
  <c r="AI43" i="4" s="1"/>
  <c r="AU43" i="4"/>
  <c r="R51" i="6" s="1"/>
  <c r="AD118" i="4"/>
  <c r="AE118" i="4" s="1"/>
  <c r="AU118" i="4"/>
  <c r="R126" i="6" s="1"/>
  <c r="AD159" i="4"/>
  <c r="AE159" i="4" s="1"/>
  <c r="AU159" i="4"/>
  <c r="R167" i="6" s="1"/>
  <c r="AF142" i="4"/>
  <c r="AU142" i="4"/>
  <c r="R150" i="6" s="1"/>
  <c r="AF151" i="4"/>
  <c r="AU151" i="4"/>
  <c r="R159" i="6" s="1"/>
  <c r="AD122" i="4"/>
  <c r="AE122" i="4" s="1"/>
  <c r="AU122" i="4"/>
  <c r="R130" i="6" s="1"/>
  <c r="AF86" i="4"/>
  <c r="AU86" i="4"/>
  <c r="R94" i="6" s="1"/>
  <c r="AD94" i="4"/>
  <c r="AI94" i="4" s="1"/>
  <c r="AU94" i="4"/>
  <c r="R102" i="6" s="1"/>
  <c r="AG67" i="4"/>
  <c r="L75" i="6" s="1"/>
  <c r="AU67" i="4"/>
  <c r="R75" i="6" s="1"/>
  <c r="AD10" i="4"/>
  <c r="AE10" i="4" s="1"/>
  <c r="AU10" i="4"/>
  <c r="R18" i="6" s="1"/>
  <c r="AG93" i="4"/>
  <c r="L101" i="6" s="1"/>
  <c r="AU93" i="4"/>
  <c r="R101" i="6" s="1"/>
  <c r="AG63" i="4"/>
  <c r="L71" i="6" s="1"/>
  <c r="AU63" i="4"/>
  <c r="R71" i="6" s="1"/>
  <c r="AD83" i="4"/>
  <c r="AE83" i="4" s="1"/>
  <c r="AU83" i="4"/>
  <c r="R91" i="6" s="1"/>
  <c r="AF26" i="4"/>
  <c r="AU26" i="4"/>
  <c r="R34" i="6" s="1"/>
  <c r="AD33" i="4"/>
  <c r="AE33" i="4" s="1"/>
  <c r="AU33" i="4"/>
  <c r="R41" i="6" s="1"/>
  <c r="AG48" i="4"/>
  <c r="L56" i="6" s="1"/>
  <c r="AU48" i="4"/>
  <c r="R56" i="6" s="1"/>
  <c r="AF68" i="4"/>
  <c r="AU68" i="4"/>
  <c r="R76" i="6" s="1"/>
  <c r="AF92" i="4"/>
  <c r="AU92" i="4"/>
  <c r="R100" i="6" s="1"/>
  <c r="AF174" i="4"/>
  <c r="AU174" i="4"/>
  <c r="R182" i="6" s="1"/>
  <c r="AF125" i="4"/>
  <c r="AU125" i="4"/>
  <c r="R133" i="6" s="1"/>
  <c r="AF161" i="4"/>
  <c r="AU161" i="4"/>
  <c r="R169" i="6" s="1"/>
  <c r="AF101" i="4"/>
  <c r="AU101" i="4"/>
  <c r="R109" i="6" s="1"/>
  <c r="AG95" i="4"/>
  <c r="L103" i="6" s="1"/>
  <c r="AU95" i="4"/>
  <c r="R103" i="6" s="1"/>
  <c r="AD46" i="4"/>
  <c r="M54" i="6" s="1"/>
  <c r="AU46" i="4"/>
  <c r="R54" i="6" s="1"/>
  <c r="AD97" i="4"/>
  <c r="M105" i="6" s="1"/>
  <c r="AU97" i="4"/>
  <c r="R105" i="6" s="1"/>
  <c r="AG144" i="4"/>
  <c r="L152" i="6" s="1"/>
  <c r="AU144" i="4"/>
  <c r="R152" i="6" s="1"/>
  <c r="AF145" i="4"/>
  <c r="AU145" i="4"/>
  <c r="R153" i="6" s="1"/>
  <c r="AD99" i="4"/>
  <c r="AE99" i="4" s="1"/>
  <c r="AU99" i="4"/>
  <c r="R107" i="6" s="1"/>
  <c r="AF74" i="4"/>
  <c r="AU74" i="4"/>
  <c r="R82" i="6" s="1"/>
  <c r="AG41" i="4"/>
  <c r="L49" i="6" s="1"/>
  <c r="AU41" i="4"/>
  <c r="R49" i="6" s="1"/>
  <c r="AD9" i="4"/>
  <c r="M17" i="6" s="1"/>
  <c r="AU9" i="4"/>
  <c r="R17" i="6" s="1"/>
  <c r="AG40" i="4"/>
  <c r="L48" i="6" s="1"/>
  <c r="AU40" i="4"/>
  <c r="R48" i="6" s="1"/>
  <c r="AF51" i="4"/>
  <c r="AU51" i="4"/>
  <c r="R59" i="6" s="1"/>
  <c r="AD173" i="4"/>
  <c r="AI173" i="4" s="1"/>
  <c r="AU173" i="4"/>
  <c r="R181" i="6" s="1"/>
  <c r="AD110" i="4"/>
  <c r="AI110" i="4" s="1"/>
  <c r="AU110" i="4"/>
  <c r="R118" i="6" s="1"/>
  <c r="AD128" i="4"/>
  <c r="AE128" i="4" s="1"/>
  <c r="AU128" i="4"/>
  <c r="R136" i="6" s="1"/>
  <c r="AG169" i="4"/>
  <c r="L177" i="6" s="1"/>
  <c r="AU169" i="4"/>
  <c r="R177" i="6" s="1"/>
  <c r="AF186" i="4"/>
  <c r="AU186" i="4"/>
  <c r="R194" i="6" s="1"/>
  <c r="AD79" i="4"/>
  <c r="AE79" i="4" s="1"/>
  <c r="AU79" i="4"/>
  <c r="R87" i="6" s="1"/>
  <c r="AD103" i="4"/>
  <c r="AI103" i="4" s="1"/>
  <c r="AU103" i="4"/>
  <c r="R111" i="6" s="1"/>
  <c r="AF58" i="4"/>
  <c r="AU58" i="4"/>
  <c r="R66" i="6" s="1"/>
  <c r="AD56" i="4"/>
  <c r="AE56" i="4" s="1"/>
  <c r="AU56" i="4"/>
  <c r="R64" i="6" s="1"/>
  <c r="AD54" i="4"/>
  <c r="M62" i="6" s="1"/>
  <c r="AU54" i="4"/>
  <c r="R62" i="6" s="1"/>
  <c r="AG64" i="4"/>
  <c r="L72" i="6" s="1"/>
  <c r="AU64" i="4"/>
  <c r="R72" i="6" s="1"/>
  <c r="AD69" i="4"/>
  <c r="AE69" i="4" s="1"/>
  <c r="AU69" i="4"/>
  <c r="R77" i="6" s="1"/>
  <c r="AD44" i="4"/>
  <c r="AI44" i="4" s="1"/>
  <c r="AU44" i="4"/>
  <c r="R52" i="6" s="1"/>
  <c r="AD72" i="4"/>
  <c r="M80" i="6" s="1"/>
  <c r="AU72" i="4"/>
  <c r="R80" i="6" s="1"/>
  <c r="AG23" i="4"/>
  <c r="L31" i="6" s="1"/>
  <c r="AU23" i="4"/>
  <c r="R31" i="6" s="1"/>
  <c r="AF78" i="4"/>
  <c r="AU78" i="4"/>
  <c r="R86" i="6" s="1"/>
  <c r="AF25" i="4"/>
  <c r="AU25" i="4"/>
  <c r="R33" i="6" s="1"/>
  <c r="AF29" i="4"/>
  <c r="AU29" i="4"/>
  <c r="R37" i="6" s="1"/>
  <c r="AG154" i="4"/>
  <c r="L162" i="6" s="1"/>
  <c r="AU154" i="4"/>
  <c r="R162" i="6" s="1"/>
  <c r="AD197" i="4"/>
  <c r="AE197" i="4" s="1"/>
  <c r="AU197" i="4"/>
  <c r="R205" i="6" s="1"/>
  <c r="AD80" i="4"/>
  <c r="AI80" i="4" s="1"/>
  <c r="AU80" i="4"/>
  <c r="R88" i="6" s="1"/>
  <c r="AD31" i="4"/>
  <c r="M39" i="6" s="1"/>
  <c r="AU31" i="4"/>
  <c r="R39" i="6" s="1"/>
  <c r="AD127" i="4"/>
  <c r="M135" i="6" s="1"/>
  <c r="AU127" i="4"/>
  <c r="R135" i="6" s="1"/>
  <c r="AF137" i="4"/>
  <c r="AU137" i="4"/>
  <c r="R145" i="6" s="1"/>
  <c r="AF107" i="4"/>
  <c r="AU107" i="4"/>
  <c r="R115" i="6" s="1"/>
  <c r="AG175" i="4"/>
  <c r="L183" i="6" s="1"/>
  <c r="AU175" i="4"/>
  <c r="R183" i="6" s="1"/>
  <c r="AD177" i="4"/>
  <c r="AI177" i="4" s="1"/>
  <c r="AU177" i="4"/>
  <c r="R185" i="6" s="1"/>
  <c r="AD113" i="4"/>
  <c r="AI113" i="4" s="1"/>
  <c r="AU113" i="4"/>
  <c r="R121" i="6" s="1"/>
  <c r="AF98" i="4"/>
  <c r="AU98" i="4"/>
  <c r="R106" i="6" s="1"/>
  <c r="AD59" i="4"/>
  <c r="AE59" i="4" s="1"/>
  <c r="AU59" i="4"/>
  <c r="R67" i="6" s="1"/>
  <c r="AF13" i="4"/>
  <c r="AU13" i="4"/>
  <c r="R21" i="6" s="1"/>
  <c r="AG57" i="4"/>
  <c r="L65" i="6" s="1"/>
  <c r="AU57" i="4"/>
  <c r="R65" i="6" s="1"/>
  <c r="AF11" i="4"/>
  <c r="AU11" i="4"/>
  <c r="R19" i="6" s="1"/>
  <c r="AF32" i="4"/>
  <c r="AU32" i="4"/>
  <c r="R40" i="6" s="1"/>
  <c r="AG47" i="4"/>
  <c r="L55" i="6" s="1"/>
  <c r="AU47" i="4"/>
  <c r="R55" i="6" s="1"/>
  <c r="AG91" i="4"/>
  <c r="L99" i="6" s="1"/>
  <c r="AU91" i="4"/>
  <c r="R99" i="6" s="1"/>
  <c r="AF34" i="4"/>
  <c r="AU34" i="4"/>
  <c r="R42" i="6" s="1"/>
  <c r="AF88" i="4"/>
  <c r="AU88" i="4"/>
  <c r="R96" i="6" s="1"/>
  <c r="AG17" i="4"/>
  <c r="L25" i="6" s="1"/>
  <c r="AU17" i="4"/>
  <c r="R25" i="6" s="1"/>
  <c r="AG15" i="4"/>
  <c r="L23" i="6" s="1"/>
  <c r="AU15" i="4"/>
  <c r="R23" i="6" s="1"/>
  <c r="AF150" i="4"/>
  <c r="AU150" i="4"/>
  <c r="R158" i="6" s="1"/>
  <c r="AD129" i="4"/>
  <c r="M137" i="6" s="1"/>
  <c r="AU129" i="4"/>
  <c r="R137" i="6" s="1"/>
  <c r="AF201" i="4"/>
  <c r="AU201" i="4"/>
  <c r="R209" i="6" s="1"/>
  <c r="AF164" i="4"/>
  <c r="AU164" i="4"/>
  <c r="R172" i="6" s="1"/>
  <c r="AG121" i="4"/>
  <c r="L129" i="6" s="1"/>
  <c r="AU121" i="4"/>
  <c r="R129" i="6" s="1"/>
  <c r="AG170" i="4"/>
  <c r="L178" i="6" s="1"/>
  <c r="AU170" i="4"/>
  <c r="R178" i="6" s="1"/>
  <c r="AG104" i="4"/>
  <c r="L112" i="6" s="1"/>
  <c r="AU104" i="4"/>
  <c r="R112" i="6" s="1"/>
  <c r="AF102" i="4"/>
  <c r="AU102" i="4"/>
  <c r="R110" i="6" s="1"/>
  <c r="AG55" i="4"/>
  <c r="L63" i="6" s="1"/>
  <c r="AU55" i="4"/>
  <c r="R63" i="6" s="1"/>
  <c r="AF45" i="4"/>
  <c r="AU45" i="4"/>
  <c r="R53" i="6" s="1"/>
  <c r="AF18" i="4"/>
  <c r="AU18" i="4"/>
  <c r="R26" i="6" s="1"/>
  <c r="AF75" i="4"/>
  <c r="AU75" i="4"/>
  <c r="R83" i="6" s="1"/>
  <c r="AF85" i="4"/>
  <c r="AU85" i="4"/>
  <c r="R93" i="6" s="1"/>
  <c r="AF61" i="4"/>
  <c r="AU61" i="4"/>
  <c r="R69" i="6" s="1"/>
  <c r="AF24" i="4"/>
  <c r="AU24" i="4"/>
  <c r="R32" i="6" s="1"/>
  <c r="AD35" i="4"/>
  <c r="AE35" i="4" s="1"/>
  <c r="AU35" i="4"/>
  <c r="R43" i="6" s="1"/>
  <c r="AG81" i="4"/>
  <c r="L89" i="6" s="1"/>
  <c r="AU81" i="4"/>
  <c r="R89" i="6" s="1"/>
  <c r="AF30" i="4"/>
  <c r="AU30" i="4"/>
  <c r="R38" i="6" s="1"/>
  <c r="AF38" i="4"/>
  <c r="AU38" i="4"/>
  <c r="R46" i="6" s="1"/>
  <c r="AE149" i="4"/>
  <c r="M157" i="6"/>
  <c r="AD38" i="4"/>
  <c r="AD17" i="4"/>
  <c r="AI17" i="4" s="1"/>
  <c r="AG78" i="4"/>
  <c r="L86" i="6" s="1"/>
  <c r="AD32" i="4"/>
  <c r="AF91" i="4"/>
  <c r="AD91" i="4"/>
  <c r="AD15" i="4"/>
  <c r="AD34" i="4"/>
  <c r="AD11" i="4"/>
  <c r="AF47" i="4"/>
  <c r="AF15" i="4"/>
  <c r="AF17" i="4"/>
  <c r="AF48" i="4"/>
  <c r="AG34" i="4"/>
  <c r="L42" i="6" s="1"/>
  <c r="AD47" i="4"/>
  <c r="M55" i="6" s="1"/>
  <c r="AG88" i="4"/>
  <c r="L96" i="6" s="1"/>
  <c r="AD88" i="4"/>
  <c r="AG11" i="4"/>
  <c r="L19" i="6" s="1"/>
  <c r="AG32" i="4"/>
  <c r="L40" i="6" s="1"/>
  <c r="AF59" i="4"/>
  <c r="AD55" i="4"/>
  <c r="M63" i="6" s="1"/>
  <c r="AD13" i="4"/>
  <c r="AG68" i="4"/>
  <c r="L76" i="6" s="1"/>
  <c r="AD48" i="4"/>
  <c r="AG92" i="4"/>
  <c r="L100" i="6" s="1"/>
  <c r="AD68" i="4"/>
  <c r="M76" i="6" s="1"/>
  <c r="AD92" i="4"/>
  <c r="M100" i="6" s="1"/>
  <c r="AG33" i="4"/>
  <c r="L41" i="6" s="1"/>
  <c r="AD75" i="4"/>
  <c r="M83" i="6" s="1"/>
  <c r="AD45" i="4"/>
  <c r="AG35" i="4"/>
  <c r="L43" i="6" s="1"/>
  <c r="AG54" i="4"/>
  <c r="L62" i="6" s="1"/>
  <c r="AD29" i="4"/>
  <c r="M37" i="6" s="1"/>
  <c r="AG77" i="4"/>
  <c r="L85" i="6" s="1"/>
  <c r="AD93" i="4"/>
  <c r="M101" i="6" s="1"/>
  <c r="AF72" i="4"/>
  <c r="AD23" i="4"/>
  <c r="M31" i="6" s="1"/>
  <c r="AG44" i="4"/>
  <c r="L52" i="6" s="1"/>
  <c r="AD25" i="4"/>
  <c r="M33" i="6" s="1"/>
  <c r="AG56" i="4"/>
  <c r="L64" i="6" s="1"/>
  <c r="AG25" i="4"/>
  <c r="L33" i="6" s="1"/>
  <c r="AF69" i="4"/>
  <c r="AG29" i="4"/>
  <c r="L37" i="6" s="1"/>
  <c r="AD64" i="4"/>
  <c r="AD78" i="4"/>
  <c r="M86" i="6" s="1"/>
  <c r="AG69" i="4"/>
  <c r="L77" i="6" s="1"/>
  <c r="AF64" i="4"/>
  <c r="AF54" i="4"/>
  <c r="AF23" i="4"/>
  <c r="AG72" i="4"/>
  <c r="L80" i="6" s="1"/>
  <c r="AF44" i="4"/>
  <c r="AD58" i="4"/>
  <c r="M66" i="6" s="1"/>
  <c r="AF66" i="4"/>
  <c r="AD85" i="4"/>
  <c r="M93" i="6" s="1"/>
  <c r="AG24" i="4"/>
  <c r="L32" i="6" s="1"/>
  <c r="AD24" i="4"/>
  <c r="M32" i="6" s="1"/>
  <c r="AD63" i="4"/>
  <c r="M71" i="6" s="1"/>
  <c r="AF33" i="4"/>
  <c r="AF93" i="4"/>
  <c r="AF63" i="4"/>
  <c r="AF10" i="4"/>
  <c r="AF55" i="4"/>
  <c r="AG30" i="4"/>
  <c r="L38" i="6" s="1"/>
  <c r="AF35" i="4"/>
  <c r="AG61" i="4"/>
  <c r="L69" i="6" s="1"/>
  <c r="AD81" i="4"/>
  <c r="AG18" i="4"/>
  <c r="L26" i="6" s="1"/>
  <c r="AD30" i="4"/>
  <c r="M38" i="6" s="1"/>
  <c r="AD61" i="4"/>
  <c r="M69" i="6" s="1"/>
  <c r="AF81" i="4"/>
  <c r="AD18" i="4"/>
  <c r="AG85" i="4"/>
  <c r="L93" i="6" s="1"/>
  <c r="AG75" i="4"/>
  <c r="L83" i="6" s="1"/>
  <c r="AG45" i="4"/>
  <c r="L53" i="6" s="1"/>
  <c r="AG38" i="4"/>
  <c r="L46" i="6" s="1"/>
  <c r="AG10" i="4"/>
  <c r="L18" i="6" s="1"/>
  <c r="AD26" i="4"/>
  <c r="M34" i="6" s="1"/>
  <c r="AG83" i="4"/>
  <c r="L91" i="6" s="1"/>
  <c r="AG26" i="4"/>
  <c r="L34" i="6" s="1"/>
  <c r="AF65" i="4"/>
  <c r="AG19" i="4"/>
  <c r="L27" i="6" s="1"/>
  <c r="AD40" i="4"/>
  <c r="M48" i="6" s="1"/>
  <c r="AG31" i="4"/>
  <c r="L39" i="6" s="1"/>
  <c r="AD53" i="4"/>
  <c r="M61" i="6" s="1"/>
  <c r="AD41" i="4"/>
  <c r="AF67" i="4"/>
  <c r="AD67" i="4"/>
  <c r="AG105" i="4"/>
  <c r="L113" i="6" s="1"/>
  <c r="AF9" i="4"/>
  <c r="AD74" i="4"/>
  <c r="AF99" i="4"/>
  <c r="AG51" i="4"/>
  <c r="L59" i="6" s="1"/>
  <c r="AF83" i="4"/>
  <c r="AG65" i="4"/>
  <c r="L73" i="6" s="1"/>
  <c r="AG27" i="4"/>
  <c r="L35" i="6" s="1"/>
  <c r="AF20" i="4"/>
  <c r="AG49" i="4"/>
  <c r="L57" i="6" s="1"/>
  <c r="AD19" i="4"/>
  <c r="AD28" i="4"/>
  <c r="AF39" i="4"/>
  <c r="AF28" i="4"/>
  <c r="AD39" i="4"/>
  <c r="AG96" i="4"/>
  <c r="L104" i="6" s="1"/>
  <c r="AD20" i="4"/>
  <c r="AG66" i="4"/>
  <c r="L74" i="6" s="1"/>
  <c r="AF96" i="4"/>
  <c r="AF56" i="4"/>
  <c r="AG58" i="4"/>
  <c r="L66" i="6" s="1"/>
  <c r="AG16" i="4"/>
  <c r="L24" i="6" s="1"/>
  <c r="AF31" i="4"/>
  <c r="AF40" i="4"/>
  <c r="AD105" i="4"/>
  <c r="M113" i="6" s="1"/>
  <c r="AD51" i="4"/>
  <c r="AG9" i="4"/>
  <c r="L17" i="6" s="1"/>
  <c r="AG43" i="4"/>
  <c r="L51" i="6" s="1"/>
  <c r="AG74" i="4"/>
  <c r="L82" i="6" s="1"/>
  <c r="AG8" i="4"/>
  <c r="L16" i="6" s="1"/>
  <c r="AF43" i="4"/>
  <c r="AG53" i="4"/>
  <c r="L61" i="6" s="1"/>
  <c r="AF41" i="4"/>
  <c r="AF8" i="4"/>
  <c r="AG99" i="4"/>
  <c r="L107" i="6" s="1"/>
  <c r="AG13" i="4"/>
  <c r="L21" i="6" s="1"/>
  <c r="AG101" i="4"/>
  <c r="L109" i="6" s="1"/>
  <c r="AG106" i="4"/>
  <c r="L114" i="6" s="1"/>
  <c r="AG42" i="4"/>
  <c r="L50" i="6" s="1"/>
  <c r="AG71" i="4"/>
  <c r="L79" i="6" s="1"/>
  <c r="AD36" i="4"/>
  <c r="AD90" i="4"/>
  <c r="AD71" i="4"/>
  <c r="AF27" i="4"/>
  <c r="AG84" i="4"/>
  <c r="L92" i="6" s="1"/>
  <c r="AF89" i="4"/>
  <c r="AF77" i="4"/>
  <c r="AD7" i="4"/>
  <c r="AF95" i="4"/>
  <c r="AG89" i="4"/>
  <c r="L97" i="6" s="1"/>
  <c r="AD52" i="4"/>
  <c r="AG7" i="4"/>
  <c r="L15" i="6" s="1"/>
  <c r="AG90" i="4"/>
  <c r="L98" i="6" s="1"/>
  <c r="AF49" i="4"/>
  <c r="AG14" i="4"/>
  <c r="L22" i="6" s="1"/>
  <c r="AG185" i="4"/>
  <c r="L193" i="6" s="1"/>
  <c r="AF22" i="4"/>
  <c r="AD12" i="4"/>
  <c r="AD14" i="4"/>
  <c r="AD22" i="4"/>
  <c r="AF36" i="4"/>
  <c r="AF84" i="4"/>
  <c r="AD153" i="4"/>
  <c r="M161" i="6" s="1"/>
  <c r="AG100" i="4"/>
  <c r="L108" i="6" s="1"/>
  <c r="AF16" i="4"/>
  <c r="AD100" i="4"/>
  <c r="M108" i="6" s="1"/>
  <c r="AF52" i="4"/>
  <c r="AG73" i="4"/>
  <c r="L81" i="6" s="1"/>
  <c r="AG6" i="4"/>
  <c r="L14" i="6" s="1"/>
  <c r="AG153" i="4"/>
  <c r="L161" i="6" s="1"/>
  <c r="AG59" i="4"/>
  <c r="L67" i="6" s="1"/>
  <c r="AD62" i="4"/>
  <c r="AG50" i="4"/>
  <c r="L58" i="6" s="1"/>
  <c r="AD95" i="4"/>
  <c r="AD106" i="4"/>
  <c r="M114" i="6" s="1"/>
  <c r="AG12" i="4"/>
  <c r="L20" i="6" s="1"/>
  <c r="AF57" i="4"/>
  <c r="AD6" i="4"/>
  <c r="M14" i="6" s="1"/>
  <c r="AG97" i="4"/>
  <c r="L105" i="6" s="1"/>
  <c r="AF62" i="4"/>
  <c r="AD70" i="4"/>
  <c r="AD73" i="4"/>
  <c r="AD50" i="4"/>
  <c r="AG21" i="4"/>
  <c r="L29" i="6" s="1"/>
  <c r="AG46" i="4"/>
  <c r="L54" i="6" s="1"/>
  <c r="AF21" i="4"/>
  <c r="AD42" i="4"/>
  <c r="AF97" i="4"/>
  <c r="AF46" i="4"/>
  <c r="AG60" i="4"/>
  <c r="L68" i="6" s="1"/>
  <c r="AG5" i="4"/>
  <c r="L13" i="6" s="1"/>
  <c r="AF5" i="4"/>
  <c r="AD5" i="4"/>
  <c r="AD60" i="4"/>
  <c r="AG37" i="4"/>
  <c r="L45" i="6" s="1"/>
  <c r="AG70" i="4"/>
  <c r="L78" i="6" s="1"/>
  <c r="AF37" i="4"/>
  <c r="AG98" i="4"/>
  <c r="L106" i="6" s="1"/>
  <c r="AD98" i="4"/>
  <c r="M106" i="6" s="1"/>
  <c r="AF154" i="4"/>
  <c r="AG174" i="4"/>
  <c r="L182" i="6" s="1"/>
  <c r="AF82" i="4"/>
  <c r="AD82" i="4"/>
  <c r="AF177" i="4"/>
  <c r="AD175" i="4"/>
  <c r="M183" i="6" s="1"/>
  <c r="AG137" i="4"/>
  <c r="L145" i="6" s="1"/>
  <c r="AG80" i="4"/>
  <c r="L88" i="6" s="1"/>
  <c r="AF80" i="4"/>
  <c r="AH149" i="4"/>
  <c r="AI149" i="4"/>
  <c r="AD107" i="4"/>
  <c r="AF94" i="4"/>
  <c r="AF175" i="4"/>
  <c r="AG127" i="4"/>
  <c r="L135" i="6" s="1"/>
  <c r="AG79" i="4"/>
  <c r="L87" i="6" s="1"/>
  <c r="AF113" i="4"/>
  <c r="AG94" i="4"/>
  <c r="L102" i="6" s="1"/>
  <c r="AD137" i="4"/>
  <c r="AG177" i="4"/>
  <c r="L185" i="6" s="1"/>
  <c r="AD102" i="4"/>
  <c r="AD101" i="4"/>
  <c r="AG107" i="4"/>
  <c r="L115" i="6" s="1"/>
  <c r="AF127" i="4"/>
  <c r="AG113" i="4"/>
  <c r="L121" i="6" s="1"/>
  <c r="AG102" i="4"/>
  <c r="L110" i="6" s="1"/>
  <c r="AD170" i="4"/>
  <c r="AG103" i="4"/>
  <c r="L111" i="6" s="1"/>
  <c r="AD87" i="4"/>
  <c r="AG87" i="4"/>
  <c r="L95" i="6" s="1"/>
  <c r="AD76" i="4"/>
  <c r="AF76" i="4"/>
  <c r="AF103" i="4"/>
  <c r="AF104" i="4"/>
  <c r="AF170" i="4"/>
  <c r="AD104" i="4"/>
  <c r="AG86" i="4"/>
  <c r="L94" i="6" s="1"/>
  <c r="AD86" i="4"/>
  <c r="AF185" i="4"/>
  <c r="AG129" i="4"/>
  <c r="L137" i="6" s="1"/>
  <c r="AF79" i="4"/>
  <c r="AG128" i="4"/>
  <c r="L136" i="6" s="1"/>
  <c r="AD186" i="4"/>
  <c r="AG186" i="4"/>
  <c r="L194" i="6" s="1"/>
  <c r="AF121" i="4"/>
  <c r="AD121" i="4"/>
  <c r="AD164" i="4"/>
  <c r="AG150" i="4"/>
  <c r="L158" i="6" s="1"/>
  <c r="AF129" i="4"/>
  <c r="AD150" i="4"/>
  <c r="AD189" i="4"/>
  <c r="AF118" i="4"/>
  <c r="AF132" i="4"/>
  <c r="AG183" i="4"/>
  <c r="L191" i="6" s="1"/>
  <c r="AF159" i="4"/>
  <c r="AD142" i="4"/>
  <c r="AG173" i="4"/>
  <c r="L181" i="6" s="1"/>
  <c r="AF173" i="4"/>
  <c r="AF138" i="4"/>
  <c r="AG142" i="4"/>
  <c r="L150" i="6" s="1"/>
  <c r="AG184" i="4"/>
  <c r="L192" i="6" s="1"/>
  <c r="AG118" i="4"/>
  <c r="L126" i="6" s="1"/>
  <c r="AG159" i="4"/>
  <c r="L167" i="6" s="1"/>
  <c r="AD151" i="4"/>
  <c r="AF169" i="4"/>
  <c r="AG122" i="4"/>
  <c r="L130" i="6" s="1"/>
  <c r="AF128" i="4"/>
  <c r="AF110" i="4"/>
  <c r="AG151" i="4"/>
  <c r="L159" i="6" s="1"/>
  <c r="AD169" i="4"/>
  <c r="AF122" i="4"/>
  <c r="AG110" i="4"/>
  <c r="L118" i="6" s="1"/>
  <c r="AD183" i="4"/>
  <c r="AD132" i="4"/>
  <c r="AF189" i="4"/>
  <c r="AD145" i="4"/>
  <c r="AF111" i="4"/>
  <c r="AG145" i="4"/>
  <c r="L153" i="6" s="1"/>
  <c r="AF184" i="4"/>
  <c r="AF158" i="4"/>
  <c r="AD161" i="4"/>
  <c r="AG161" i="4"/>
  <c r="L169" i="6" s="1"/>
  <c r="AD158" i="4"/>
  <c r="AD138" i="4"/>
  <c r="AF197" i="4"/>
  <c r="AD111" i="4"/>
  <c r="AD182" i="4"/>
  <c r="AF144" i="4"/>
  <c r="AG201" i="4"/>
  <c r="L209" i="6" s="1"/>
  <c r="AD144" i="4"/>
  <c r="AD201" i="4"/>
  <c r="AG197" i="4"/>
  <c r="L205" i="6" s="1"/>
  <c r="AG164" i="4"/>
  <c r="L172" i="6" s="1"/>
  <c r="AD202" i="4"/>
  <c r="AG202" i="4"/>
  <c r="L210" i="6" s="1"/>
  <c r="AG182" i="4"/>
  <c r="L190" i="6" s="1"/>
  <c r="AG193" i="4"/>
  <c r="L201" i="6" s="1"/>
  <c r="AD174" i="4"/>
  <c r="AF193" i="4"/>
  <c r="AD154" i="4"/>
  <c r="AG166" i="4"/>
  <c r="L174" i="6" s="1"/>
  <c r="AG152" i="4"/>
  <c r="L160" i="6" s="1"/>
  <c r="AF152" i="4"/>
  <c r="AD125" i="4"/>
  <c r="AD166" i="4"/>
  <c r="AG125" i="4"/>
  <c r="L133" i="6" s="1"/>
  <c r="AD163" i="4"/>
  <c r="AF163" i="4"/>
  <c r="AG163" i="4"/>
  <c r="L171" i="6" s="1"/>
  <c r="AD124" i="4"/>
  <c r="AG124" i="4"/>
  <c r="L132" i="6" s="1"/>
  <c r="AF124" i="4"/>
  <c r="AD109" i="4"/>
  <c r="AF109" i="4"/>
  <c r="AG109" i="4"/>
  <c r="L117" i="6" s="1"/>
  <c r="AF146" i="4"/>
  <c r="AG146" i="4"/>
  <c r="L154" i="6" s="1"/>
  <c r="AD146" i="4"/>
  <c r="AD190" i="4"/>
  <c r="AF190" i="4"/>
  <c r="AG190" i="4"/>
  <c r="L198" i="6" s="1"/>
  <c r="AG119" i="4"/>
  <c r="L127" i="6" s="1"/>
  <c r="AD119" i="4"/>
  <c r="AF119" i="4"/>
  <c r="AD160" i="4"/>
  <c r="AF160" i="4"/>
  <c r="AG160" i="4"/>
  <c r="L168" i="6" s="1"/>
  <c r="AD172" i="4"/>
  <c r="AG172" i="4"/>
  <c r="L180" i="6" s="1"/>
  <c r="AF172" i="4"/>
  <c r="AG143" i="4"/>
  <c r="L151" i="6" s="1"/>
  <c r="AD143" i="4"/>
  <c r="AF143" i="4"/>
  <c r="AD168" i="4"/>
  <c r="AF168" i="4"/>
  <c r="AG168" i="4"/>
  <c r="L176" i="6" s="1"/>
  <c r="AD200" i="4"/>
  <c r="AF200" i="4"/>
  <c r="AG200" i="4"/>
  <c r="L208" i="6" s="1"/>
  <c r="AD176" i="4"/>
  <c r="AF176" i="4"/>
  <c r="AG176" i="4"/>
  <c r="L184" i="6" s="1"/>
  <c r="AD187" i="4"/>
  <c r="AF187" i="4"/>
  <c r="AG187" i="4"/>
  <c r="L195" i="6" s="1"/>
  <c r="AD139" i="4"/>
  <c r="AF139" i="4"/>
  <c r="AG139" i="4"/>
  <c r="L147" i="6" s="1"/>
  <c r="AF194" i="4"/>
  <c r="AG194" i="4"/>
  <c r="L202" i="6" s="1"/>
  <c r="AD194" i="4"/>
  <c r="AD147" i="4"/>
  <c r="AF147" i="4"/>
  <c r="AG147" i="4"/>
  <c r="L155" i="6" s="1"/>
  <c r="AD171" i="4"/>
  <c r="AF171" i="4"/>
  <c r="AG171" i="4"/>
  <c r="L179" i="6" s="1"/>
  <c r="AD195" i="4"/>
  <c r="AF195" i="4"/>
  <c r="AG195" i="4"/>
  <c r="L203" i="6" s="1"/>
  <c r="AD179" i="4"/>
  <c r="AF179" i="4"/>
  <c r="AG179" i="4"/>
  <c r="L187" i="6" s="1"/>
  <c r="AG199" i="4"/>
  <c r="L207" i="6" s="1"/>
  <c r="AF199" i="4"/>
  <c r="AD199" i="4"/>
  <c r="AG191" i="4"/>
  <c r="L199" i="6" s="1"/>
  <c r="AF191" i="4"/>
  <c r="AD191" i="4"/>
  <c r="AD196" i="4"/>
  <c r="AG196" i="4"/>
  <c r="L204" i="6" s="1"/>
  <c r="AF196" i="4"/>
  <c r="AG135" i="4"/>
  <c r="L143" i="6" s="1"/>
  <c r="AD135" i="4"/>
  <c r="AF135" i="4"/>
  <c r="AD192" i="4"/>
  <c r="AF192" i="4"/>
  <c r="AG192" i="4"/>
  <c r="L200" i="6" s="1"/>
  <c r="AF130" i="4"/>
  <c r="AG130" i="4"/>
  <c r="L138" i="6" s="1"/>
  <c r="AD130" i="4"/>
  <c r="AG167" i="4"/>
  <c r="L175" i="6" s="1"/>
  <c r="AD167" i="4"/>
  <c r="AF167" i="4"/>
  <c r="AD181" i="4"/>
  <c r="AF181" i="4"/>
  <c r="AG181" i="4"/>
  <c r="L189" i="6" s="1"/>
  <c r="AD203" i="4"/>
  <c r="AF203" i="4"/>
  <c r="AG203" i="4"/>
  <c r="L211" i="6" s="1"/>
  <c r="AF148" i="4"/>
  <c r="AD148" i="4"/>
  <c r="AG148" i="4"/>
  <c r="L156" i="6" s="1"/>
  <c r="AF178" i="4"/>
  <c r="AG178" i="4"/>
  <c r="L186" i="6" s="1"/>
  <c r="AD178" i="4"/>
  <c r="AD157" i="4"/>
  <c r="AF157" i="4"/>
  <c r="AG157" i="4"/>
  <c r="L165" i="6" s="1"/>
  <c r="AD133" i="4"/>
  <c r="AF133" i="4"/>
  <c r="AG133" i="4"/>
  <c r="L141" i="6" s="1"/>
  <c r="AD140" i="4"/>
  <c r="AG140" i="4"/>
  <c r="L148" i="6" s="1"/>
  <c r="AF140" i="4"/>
  <c r="AD117" i="4"/>
  <c r="AF117" i="4"/>
  <c r="AG117" i="4"/>
  <c r="L125" i="6" s="1"/>
  <c r="AD180" i="4"/>
  <c r="AG180" i="4"/>
  <c r="L188" i="6" s="1"/>
  <c r="AF180" i="4"/>
  <c r="AD120" i="4"/>
  <c r="AF120" i="4"/>
  <c r="AG120" i="4"/>
  <c r="L128" i="6" s="1"/>
  <c r="AD112" i="4"/>
  <c r="AF112" i="4"/>
  <c r="AG112" i="4"/>
  <c r="L120" i="6" s="1"/>
  <c r="AF162" i="4"/>
  <c r="AG162" i="4"/>
  <c r="L170" i="6" s="1"/>
  <c r="AD162" i="4"/>
  <c r="AD134" i="4"/>
  <c r="AF134" i="4"/>
  <c r="AG134" i="4"/>
  <c r="L142" i="6" s="1"/>
  <c r="AD131" i="4"/>
  <c r="AF131" i="4"/>
  <c r="AG131" i="4"/>
  <c r="L139" i="6" s="1"/>
  <c r="AD155" i="4"/>
  <c r="AF155" i="4"/>
  <c r="AG155" i="4"/>
  <c r="L163" i="6" s="1"/>
  <c r="AD115" i="4"/>
  <c r="AF115" i="4"/>
  <c r="AG115" i="4"/>
  <c r="L123" i="6" s="1"/>
  <c r="AD126" i="4"/>
  <c r="AF126" i="4"/>
  <c r="AG126" i="4"/>
  <c r="L134" i="6" s="1"/>
  <c r="AD198" i="4"/>
  <c r="AF198" i="4"/>
  <c r="AG198" i="4"/>
  <c r="L206" i="6" s="1"/>
  <c r="AD136" i="4"/>
  <c r="AF136" i="4"/>
  <c r="AG136" i="4"/>
  <c r="L144" i="6" s="1"/>
  <c r="AD165" i="4"/>
  <c r="AF165" i="4"/>
  <c r="AG165" i="4"/>
  <c r="L173" i="6" s="1"/>
  <c r="AF114" i="4"/>
  <c r="AG114" i="4"/>
  <c r="L122" i="6" s="1"/>
  <c r="AD114" i="4"/>
  <c r="AD188" i="4"/>
  <c r="AG188" i="4"/>
  <c r="L196" i="6" s="1"/>
  <c r="AF188" i="4"/>
  <c r="AD141" i="4"/>
  <c r="AF141" i="4"/>
  <c r="AG141" i="4"/>
  <c r="L149" i="6" s="1"/>
  <c r="AF116" i="4"/>
  <c r="AD116" i="4"/>
  <c r="AG116" i="4"/>
  <c r="L124" i="6" s="1"/>
  <c r="AF156" i="4"/>
  <c r="AD156" i="4"/>
  <c r="AG156" i="4"/>
  <c r="L164" i="6" s="1"/>
  <c r="AF108" i="4"/>
  <c r="AD108" i="4"/>
  <c r="AG108" i="4"/>
  <c r="L116" i="6" s="1"/>
  <c r="AD123" i="4"/>
  <c r="AF123" i="4"/>
  <c r="AG123" i="4"/>
  <c r="L131" i="6" s="1"/>
  <c r="AE57" i="4" l="1"/>
  <c r="AE97" i="4"/>
  <c r="AI57" i="4"/>
  <c r="AH57" i="4"/>
  <c r="M92" i="6"/>
  <c r="AI185" i="4"/>
  <c r="AI33" i="4"/>
  <c r="AE5" i="4"/>
  <c r="AH5" i="4"/>
  <c r="M130" i="6"/>
  <c r="AH152" i="4"/>
  <c r="AJ152" i="4" s="1"/>
  <c r="AK152" i="4" s="1"/>
  <c r="AH122" i="4"/>
  <c r="AI49" i="4"/>
  <c r="AI118" i="4"/>
  <c r="AE152" i="4"/>
  <c r="M18" i="6"/>
  <c r="AE49" i="4"/>
  <c r="AI10" i="4"/>
  <c r="AI16" i="4"/>
  <c r="M126" i="6"/>
  <c r="M88" i="6"/>
  <c r="AH118" i="4"/>
  <c r="AI56" i="4"/>
  <c r="AI65" i="4"/>
  <c r="AH16" i="4"/>
  <c r="AH65" i="4"/>
  <c r="M24" i="6"/>
  <c r="M52" i="6"/>
  <c r="AH173" i="4"/>
  <c r="AJ173" i="4" s="1"/>
  <c r="AK173" i="4" s="1"/>
  <c r="M181" i="6"/>
  <c r="M73" i="6"/>
  <c r="AH80" i="4"/>
  <c r="AI152" i="4"/>
  <c r="AI122" i="4"/>
  <c r="AH49" i="4"/>
  <c r="AH10" i="4"/>
  <c r="AH159" i="4"/>
  <c r="AJ159" i="4" s="1"/>
  <c r="AK159" i="4" s="1"/>
  <c r="AH185" i="4"/>
  <c r="AJ185" i="4" s="1"/>
  <c r="AK185" i="4" s="1"/>
  <c r="AI159" i="4"/>
  <c r="AH84" i="4"/>
  <c r="M193" i="6"/>
  <c r="M118" i="6"/>
  <c r="M167" i="6"/>
  <c r="AE84" i="4"/>
  <c r="AI9" i="4"/>
  <c r="AE110" i="4"/>
  <c r="AH33" i="4"/>
  <c r="AE44" i="4"/>
  <c r="AH56" i="4"/>
  <c r="AH44" i="4"/>
  <c r="AE80" i="4"/>
  <c r="M41" i="6"/>
  <c r="AI79" i="4"/>
  <c r="AH110" i="4"/>
  <c r="AI31" i="4"/>
  <c r="AH9" i="4"/>
  <c r="AI21" i="4"/>
  <c r="AH79" i="4"/>
  <c r="M29" i="6"/>
  <c r="AI59" i="4"/>
  <c r="AH21" i="4"/>
  <c r="AE9" i="4"/>
  <c r="AI54" i="4"/>
  <c r="AE173" i="4"/>
  <c r="M64" i="6"/>
  <c r="AH129" i="4"/>
  <c r="AE54" i="4"/>
  <c r="AE31" i="4"/>
  <c r="AI129" i="4"/>
  <c r="AE72" i="4"/>
  <c r="AI89" i="4"/>
  <c r="AI127" i="4"/>
  <c r="M192" i="6"/>
  <c r="AH184" i="4"/>
  <c r="AJ184" i="4" s="1"/>
  <c r="AK184" i="4" s="1"/>
  <c r="AH72" i="4"/>
  <c r="M87" i="6"/>
  <c r="AH102" i="4"/>
  <c r="AH54" i="4"/>
  <c r="AE129" i="4"/>
  <c r="AI96" i="4"/>
  <c r="AH77" i="4"/>
  <c r="M97" i="6"/>
  <c r="AE184" i="4"/>
  <c r="AE46" i="4"/>
  <c r="AH89" i="4"/>
  <c r="AI77" i="4"/>
  <c r="AH96" i="4"/>
  <c r="AE96" i="4"/>
  <c r="AI46" i="4"/>
  <c r="AH8" i="4"/>
  <c r="AE127" i="4"/>
  <c r="M85" i="6"/>
  <c r="M67" i="6"/>
  <c r="AH59" i="4"/>
  <c r="AI72" i="4"/>
  <c r="AE37" i="4"/>
  <c r="AH103" i="4"/>
  <c r="AI128" i="4"/>
  <c r="AI8" i="4"/>
  <c r="AH46" i="4"/>
  <c r="M111" i="6"/>
  <c r="M102" i="6"/>
  <c r="AH127" i="4"/>
  <c r="AH177" i="4"/>
  <c r="AJ177" i="4" s="1"/>
  <c r="AK177" i="4" s="1"/>
  <c r="AE103" i="4"/>
  <c r="AE94" i="4"/>
  <c r="AI99" i="4"/>
  <c r="AH94" i="4"/>
  <c r="M185" i="6"/>
  <c r="M136" i="6"/>
  <c r="M16" i="6"/>
  <c r="AH99" i="4"/>
  <c r="AE177" i="4"/>
  <c r="M107" i="6"/>
  <c r="AH128" i="4"/>
  <c r="AH31" i="4"/>
  <c r="AI97" i="4"/>
  <c r="AE43" i="4"/>
  <c r="M43" i="6"/>
  <c r="AI35" i="4"/>
  <c r="AH83" i="4"/>
  <c r="AH66" i="4"/>
  <c r="AH193" i="4"/>
  <c r="AJ193" i="4" s="1"/>
  <c r="AK193" i="4" s="1"/>
  <c r="AH43" i="4"/>
  <c r="AE193" i="4"/>
  <c r="M45" i="6"/>
  <c r="M51" i="6"/>
  <c r="AI83" i="4"/>
  <c r="AI27" i="4"/>
  <c r="M121" i="6"/>
  <c r="M74" i="6"/>
  <c r="AH113" i="4"/>
  <c r="AI197" i="4"/>
  <c r="AH27" i="4"/>
  <c r="AE113" i="4"/>
  <c r="M91" i="6"/>
  <c r="AE66" i="4"/>
  <c r="AI69" i="4"/>
  <c r="AH69" i="4"/>
  <c r="M77" i="6"/>
  <c r="AI193" i="4"/>
  <c r="AH37" i="4"/>
  <c r="AH35" i="4"/>
  <c r="M205" i="6"/>
  <c r="M35" i="6"/>
  <c r="AH197" i="4"/>
  <c r="AJ197" i="4" s="1"/>
  <c r="AK197" i="4" s="1"/>
  <c r="AH97" i="4"/>
  <c r="AE38" i="4"/>
  <c r="M46" i="6"/>
  <c r="AE141" i="4"/>
  <c r="M149" i="6"/>
  <c r="AE155" i="4"/>
  <c r="M163" i="6"/>
  <c r="AE140" i="4"/>
  <c r="M148" i="6"/>
  <c r="AE171" i="4"/>
  <c r="M179" i="6"/>
  <c r="AE119" i="4"/>
  <c r="M127" i="6"/>
  <c r="AE163" i="4"/>
  <c r="M171" i="6"/>
  <c r="AE201" i="4"/>
  <c r="M209" i="6"/>
  <c r="AE158" i="4"/>
  <c r="M166" i="6"/>
  <c r="AE189" i="4"/>
  <c r="M197" i="6"/>
  <c r="AE186" i="4"/>
  <c r="M194" i="6"/>
  <c r="AE170" i="4"/>
  <c r="M178" i="6"/>
  <c r="AE137" i="4"/>
  <c r="M145" i="6"/>
  <c r="AI38" i="4"/>
  <c r="AE70" i="4"/>
  <c r="M78" i="6"/>
  <c r="AE36" i="4"/>
  <c r="M44" i="6"/>
  <c r="AE20" i="4"/>
  <c r="M28" i="6"/>
  <c r="AE48" i="4"/>
  <c r="M56" i="6"/>
  <c r="AE34" i="4"/>
  <c r="M42" i="6"/>
  <c r="AE198" i="4"/>
  <c r="M206" i="6"/>
  <c r="AE120" i="4"/>
  <c r="M128" i="6"/>
  <c r="AE178" i="4"/>
  <c r="M186" i="6"/>
  <c r="AE176" i="4"/>
  <c r="M184" i="6"/>
  <c r="AE154" i="4"/>
  <c r="M162" i="6"/>
  <c r="AE145" i="4"/>
  <c r="M153" i="6"/>
  <c r="AE104" i="4"/>
  <c r="M112" i="6"/>
  <c r="AE107" i="4"/>
  <c r="M115" i="6"/>
  <c r="AE73" i="4"/>
  <c r="M81" i="6"/>
  <c r="AE95" i="4"/>
  <c r="M103" i="6"/>
  <c r="AE12" i="4"/>
  <c r="M20" i="6"/>
  <c r="AE90" i="4"/>
  <c r="M98" i="6"/>
  <c r="AE51" i="4"/>
  <c r="M59" i="6"/>
  <c r="AE88" i="4"/>
  <c r="M96" i="6"/>
  <c r="AE11" i="4"/>
  <c r="M19" i="6"/>
  <c r="AE156" i="4"/>
  <c r="M164" i="6"/>
  <c r="AE165" i="4"/>
  <c r="M173" i="6"/>
  <c r="AE196" i="4"/>
  <c r="M204" i="6"/>
  <c r="AE139" i="4"/>
  <c r="M147" i="6"/>
  <c r="AE174" i="4"/>
  <c r="M182" i="6"/>
  <c r="AE144" i="4"/>
  <c r="M152" i="6"/>
  <c r="AE132" i="4"/>
  <c r="M140" i="6"/>
  <c r="AE150" i="4"/>
  <c r="M158" i="6"/>
  <c r="AH38" i="4"/>
  <c r="AE62" i="4"/>
  <c r="M70" i="6"/>
  <c r="AE7" i="4"/>
  <c r="M15" i="6"/>
  <c r="AE67" i="4"/>
  <c r="M75" i="6"/>
  <c r="AE18" i="4"/>
  <c r="M26" i="6"/>
  <c r="AE15" i="4"/>
  <c r="M23" i="6"/>
  <c r="AE143" i="4"/>
  <c r="M151" i="6"/>
  <c r="AE138" i="4"/>
  <c r="M146" i="6"/>
  <c r="AE166" i="4"/>
  <c r="M174" i="6"/>
  <c r="AE42" i="4"/>
  <c r="M50" i="6"/>
  <c r="AE39" i="4"/>
  <c r="M47" i="6"/>
  <c r="AH45" i="4"/>
  <c r="M53" i="6"/>
  <c r="AE13" i="4"/>
  <c r="M21" i="6"/>
  <c r="AE91" i="4"/>
  <c r="M99" i="6"/>
  <c r="AE188" i="4"/>
  <c r="M196" i="6"/>
  <c r="AE131" i="4"/>
  <c r="M139" i="6"/>
  <c r="AE133" i="4"/>
  <c r="M141" i="6"/>
  <c r="AE148" i="4"/>
  <c r="M156" i="6"/>
  <c r="AE192" i="4"/>
  <c r="M200" i="6"/>
  <c r="AE147" i="4"/>
  <c r="M155" i="6"/>
  <c r="AE172" i="4"/>
  <c r="M180" i="6"/>
  <c r="AE125" i="4"/>
  <c r="M133" i="6"/>
  <c r="AE151" i="4"/>
  <c r="M159" i="6"/>
  <c r="AE142" i="4"/>
  <c r="M150" i="6"/>
  <c r="AE60" i="4"/>
  <c r="M68" i="6"/>
  <c r="AE41" i="4"/>
  <c r="M49" i="6"/>
  <c r="AE126" i="4"/>
  <c r="M134" i="6"/>
  <c r="AE191" i="4"/>
  <c r="M199" i="6"/>
  <c r="AE109" i="4"/>
  <c r="M117" i="6"/>
  <c r="AE161" i="4"/>
  <c r="M169" i="6"/>
  <c r="AE183" i="4"/>
  <c r="M191" i="6"/>
  <c r="AE82" i="4"/>
  <c r="M90" i="6"/>
  <c r="AE123" i="4"/>
  <c r="M131" i="6"/>
  <c r="AE116" i="4"/>
  <c r="M124" i="6"/>
  <c r="AE114" i="4"/>
  <c r="M122" i="6"/>
  <c r="AE136" i="4"/>
  <c r="M144" i="6"/>
  <c r="AE112" i="4"/>
  <c r="M120" i="6"/>
  <c r="AE167" i="4"/>
  <c r="M175" i="6"/>
  <c r="AE194" i="4"/>
  <c r="M202" i="6"/>
  <c r="AE187" i="4"/>
  <c r="M195" i="6"/>
  <c r="AE190" i="4"/>
  <c r="M198" i="6"/>
  <c r="AE182" i="4"/>
  <c r="M190" i="6"/>
  <c r="AE164" i="4"/>
  <c r="M172" i="6"/>
  <c r="AE76" i="4"/>
  <c r="M84" i="6"/>
  <c r="M13" i="6"/>
  <c r="AE64" i="4"/>
  <c r="M72" i="6"/>
  <c r="AE32" i="4"/>
  <c r="M40" i="6"/>
  <c r="AE203" i="4"/>
  <c r="M211" i="6"/>
  <c r="AE135" i="4"/>
  <c r="M143" i="6"/>
  <c r="AE121" i="4"/>
  <c r="M129" i="6"/>
  <c r="AE86" i="4"/>
  <c r="M94" i="6"/>
  <c r="AE101" i="4"/>
  <c r="M109" i="6"/>
  <c r="AE22" i="4"/>
  <c r="M30" i="6"/>
  <c r="AE28" i="4"/>
  <c r="M36" i="6"/>
  <c r="AE162" i="4"/>
  <c r="M170" i="6"/>
  <c r="AE180" i="4"/>
  <c r="M188" i="6"/>
  <c r="AE181" i="4"/>
  <c r="M189" i="6"/>
  <c r="AE179" i="4"/>
  <c r="M187" i="6"/>
  <c r="AE200" i="4"/>
  <c r="M208" i="6"/>
  <c r="AE115" i="4"/>
  <c r="M123" i="6"/>
  <c r="AE117" i="4"/>
  <c r="M125" i="6"/>
  <c r="AE199" i="4"/>
  <c r="M207" i="6"/>
  <c r="AE195" i="4"/>
  <c r="M203" i="6"/>
  <c r="AE168" i="4"/>
  <c r="M176" i="6"/>
  <c r="AE146" i="4"/>
  <c r="M154" i="6"/>
  <c r="AE124" i="4"/>
  <c r="M132" i="6"/>
  <c r="AE202" i="4"/>
  <c r="M210" i="6"/>
  <c r="AE111" i="4"/>
  <c r="M119" i="6"/>
  <c r="AE169" i="4"/>
  <c r="M177" i="6"/>
  <c r="AE108" i="4"/>
  <c r="M116" i="6"/>
  <c r="AE134" i="4"/>
  <c r="M142" i="6"/>
  <c r="AE157" i="4"/>
  <c r="M165" i="6"/>
  <c r="AE130" i="4"/>
  <c r="M138" i="6"/>
  <c r="AE160" i="4"/>
  <c r="M168" i="6"/>
  <c r="AE87" i="4"/>
  <c r="M95" i="6"/>
  <c r="AE102" i="4"/>
  <c r="M110" i="6"/>
  <c r="AE50" i="4"/>
  <c r="M58" i="6"/>
  <c r="AE14" i="4"/>
  <c r="M22" i="6"/>
  <c r="AE52" i="4"/>
  <c r="M60" i="6"/>
  <c r="AE71" i="4"/>
  <c r="M79" i="6"/>
  <c r="AE19" i="4"/>
  <c r="M27" i="6"/>
  <c r="AE74" i="4"/>
  <c r="M82" i="6"/>
  <c r="AE81" i="4"/>
  <c r="M89" i="6"/>
  <c r="AE17" i="4"/>
  <c r="M25" i="6"/>
  <c r="AH17" i="4"/>
  <c r="AH32" i="4"/>
  <c r="AI32" i="4"/>
  <c r="AI15" i="4"/>
  <c r="AI34" i="4"/>
  <c r="AI91" i="4"/>
  <c r="AH91" i="4"/>
  <c r="AH6" i="4"/>
  <c r="AE6" i="4"/>
  <c r="AH34" i="4"/>
  <c r="AH15" i="4"/>
  <c r="AH11" i="4"/>
  <c r="AI11" i="4"/>
  <c r="AH47" i="4"/>
  <c r="AI13" i="4"/>
  <c r="AH13" i="4"/>
  <c r="AI48" i="4"/>
  <c r="AH48" i="4"/>
  <c r="AH88" i="4"/>
  <c r="AI88" i="4"/>
  <c r="AH98" i="4"/>
  <c r="AE98" i="4"/>
  <c r="AH53" i="4"/>
  <c r="AE53" i="4"/>
  <c r="AI30" i="4"/>
  <c r="AE30" i="4"/>
  <c r="AI58" i="4"/>
  <c r="AE58" i="4"/>
  <c r="AI93" i="4"/>
  <c r="AE93" i="4"/>
  <c r="AH100" i="4"/>
  <c r="AE100" i="4"/>
  <c r="AI63" i="4"/>
  <c r="AE63" i="4"/>
  <c r="AH29" i="4"/>
  <c r="AE29" i="4"/>
  <c r="AH106" i="4"/>
  <c r="AE106" i="4"/>
  <c r="AI175" i="4"/>
  <c r="AE175" i="4"/>
  <c r="AH105" i="4"/>
  <c r="AE105" i="4"/>
  <c r="AH24" i="4"/>
  <c r="AE24" i="4"/>
  <c r="AH92" i="4"/>
  <c r="AE92" i="4"/>
  <c r="AI40" i="4"/>
  <c r="AE40" i="4"/>
  <c r="AI68" i="4"/>
  <c r="AE68" i="4"/>
  <c r="AH25" i="4"/>
  <c r="AE25" i="4"/>
  <c r="AI47" i="4"/>
  <c r="AE47" i="4"/>
  <c r="AH153" i="4"/>
  <c r="AJ153" i="4" s="1"/>
  <c r="AK153" i="4" s="1"/>
  <c r="AE153" i="4"/>
  <c r="AH85" i="4"/>
  <c r="AE85" i="4"/>
  <c r="AI45" i="4"/>
  <c r="AE45" i="4"/>
  <c r="AI26" i="4"/>
  <c r="AE26" i="4"/>
  <c r="AH61" i="4"/>
  <c r="AE61" i="4"/>
  <c r="AH78" i="4"/>
  <c r="AE78" i="4"/>
  <c r="AI23" i="4"/>
  <c r="AE23" i="4"/>
  <c r="AH75" i="4"/>
  <c r="AE75" i="4"/>
  <c r="AI55" i="4"/>
  <c r="AE55" i="4"/>
  <c r="AH55" i="4"/>
  <c r="AI29" i="4"/>
  <c r="AH93" i="4"/>
  <c r="AH68" i="4"/>
  <c r="AI92" i="4"/>
  <c r="AH58" i="4"/>
  <c r="AI75" i="4"/>
  <c r="AH23" i="4"/>
  <c r="AI18" i="4"/>
  <c r="AI25" i="4"/>
  <c r="AI24" i="4"/>
  <c r="AH64" i="4"/>
  <c r="AI78" i="4"/>
  <c r="AI85" i="4"/>
  <c r="AI64" i="4"/>
  <c r="AH63" i="4"/>
  <c r="AH18" i="4"/>
  <c r="AH26" i="4"/>
  <c r="AH30" i="4"/>
  <c r="AH81" i="4"/>
  <c r="AI61" i="4"/>
  <c r="AI81" i="4"/>
  <c r="AH40" i="4"/>
  <c r="AI53" i="4"/>
  <c r="AH41" i="4"/>
  <c r="AI28" i="4"/>
  <c r="AH50" i="4"/>
  <c r="AI14" i="4"/>
  <c r="AI52" i="4"/>
  <c r="AH71" i="4"/>
  <c r="AI19" i="4"/>
  <c r="AI74" i="4"/>
  <c r="AH73" i="4"/>
  <c r="AH12" i="4"/>
  <c r="AI90" i="4"/>
  <c r="AH51" i="4"/>
  <c r="AI70" i="4"/>
  <c r="AI36" i="4"/>
  <c r="AH20" i="4"/>
  <c r="AI62" i="4"/>
  <c r="AH7" i="4"/>
  <c r="AI82" i="4"/>
  <c r="AH42" i="4"/>
  <c r="AI39" i="4"/>
  <c r="AH60" i="4"/>
  <c r="AI41" i="4"/>
  <c r="AH67" i="4"/>
  <c r="AI67" i="4"/>
  <c r="AI153" i="4"/>
  <c r="AH74" i="4"/>
  <c r="AI42" i="4"/>
  <c r="AH62" i="4"/>
  <c r="AH19" i="4"/>
  <c r="AH39" i="4"/>
  <c r="AH28" i="4"/>
  <c r="AI20" i="4"/>
  <c r="AI7" i="4"/>
  <c r="AH95" i="4"/>
  <c r="AI105" i="4"/>
  <c r="AH14" i="4"/>
  <c r="AH90" i="4"/>
  <c r="AI50" i="4"/>
  <c r="AI100" i="4"/>
  <c r="AI51" i="4"/>
  <c r="AI12" i="4"/>
  <c r="AH36" i="4"/>
  <c r="AH22" i="4"/>
  <c r="AI60" i="4"/>
  <c r="AI6" i="4"/>
  <c r="AH52" i="4"/>
  <c r="AI106" i="4"/>
  <c r="AI71" i="4"/>
  <c r="AI22" i="4"/>
  <c r="AH70" i="4"/>
  <c r="AI95" i="4"/>
  <c r="AI73" i="4"/>
  <c r="AI98" i="4"/>
  <c r="AI5" i="4"/>
  <c r="AH82" i="4"/>
  <c r="AH175" i="4"/>
  <c r="AJ175" i="4" s="1"/>
  <c r="AK175" i="4" s="1"/>
  <c r="AH192" i="4"/>
  <c r="AJ192" i="4" s="1"/>
  <c r="AK192" i="4" s="1"/>
  <c r="AI192" i="4"/>
  <c r="AH116" i="4"/>
  <c r="AI116" i="4"/>
  <c r="AH182" i="4"/>
  <c r="AJ182" i="4" s="1"/>
  <c r="AK182" i="4" s="1"/>
  <c r="AI182" i="4"/>
  <c r="AH188" i="4"/>
  <c r="AJ188" i="4" s="1"/>
  <c r="AK188" i="4" s="1"/>
  <c r="AI188" i="4"/>
  <c r="AH125" i="4"/>
  <c r="AI125" i="4"/>
  <c r="AH151" i="4"/>
  <c r="AJ151" i="4" s="1"/>
  <c r="AK151" i="4" s="1"/>
  <c r="AI151" i="4"/>
  <c r="AH123" i="4"/>
  <c r="AI123" i="4"/>
  <c r="AI112" i="4"/>
  <c r="AH112" i="4"/>
  <c r="AH187" i="4"/>
  <c r="AJ187" i="4" s="1"/>
  <c r="AK187" i="4" s="1"/>
  <c r="AI187" i="4"/>
  <c r="AH115" i="4"/>
  <c r="AI115" i="4"/>
  <c r="AH117" i="4"/>
  <c r="AI117" i="4"/>
  <c r="AH135" i="4"/>
  <c r="AI135" i="4"/>
  <c r="AH199" i="4"/>
  <c r="AJ199" i="4" s="1"/>
  <c r="AK199" i="4" s="1"/>
  <c r="AI199" i="4"/>
  <c r="AH195" i="4"/>
  <c r="AJ195" i="4" s="1"/>
  <c r="AK195" i="4" s="1"/>
  <c r="AI195" i="4"/>
  <c r="AH168" i="4"/>
  <c r="AJ168" i="4" s="1"/>
  <c r="AK168" i="4" s="1"/>
  <c r="AI168" i="4"/>
  <c r="AH146" i="4"/>
  <c r="AJ146" i="4" s="1"/>
  <c r="AK146" i="4" s="1"/>
  <c r="AI146" i="4"/>
  <c r="AH124" i="4"/>
  <c r="AI124" i="4"/>
  <c r="AH202" i="4"/>
  <c r="AJ202" i="4" s="1"/>
  <c r="AK202" i="4" s="1"/>
  <c r="AI202" i="4"/>
  <c r="AH111" i="4"/>
  <c r="AI111" i="4"/>
  <c r="AH169" i="4"/>
  <c r="AJ169" i="4" s="1"/>
  <c r="AK169" i="4" s="1"/>
  <c r="AI169" i="4"/>
  <c r="AH164" i="4"/>
  <c r="AJ164" i="4" s="1"/>
  <c r="AK164" i="4" s="1"/>
  <c r="AI164" i="4"/>
  <c r="AH133" i="4"/>
  <c r="AI133" i="4"/>
  <c r="AH167" i="4"/>
  <c r="AJ167" i="4" s="1"/>
  <c r="AK167" i="4" s="1"/>
  <c r="AI167" i="4"/>
  <c r="AH194" i="4"/>
  <c r="AJ194" i="4" s="1"/>
  <c r="AK194" i="4" s="1"/>
  <c r="AI194" i="4"/>
  <c r="AH190" i="4"/>
  <c r="AJ190" i="4" s="1"/>
  <c r="AK190" i="4" s="1"/>
  <c r="AI190" i="4"/>
  <c r="AH160" i="4"/>
  <c r="AJ160" i="4" s="1"/>
  <c r="AK160" i="4" s="1"/>
  <c r="AI160" i="4"/>
  <c r="AH121" i="4"/>
  <c r="AI121" i="4"/>
  <c r="AH86" i="4"/>
  <c r="AI86" i="4"/>
  <c r="AH76" i="4"/>
  <c r="AI76" i="4"/>
  <c r="AH131" i="4"/>
  <c r="AI131" i="4"/>
  <c r="AH142" i="4"/>
  <c r="AJ142" i="4" s="1"/>
  <c r="AK142" i="4" s="1"/>
  <c r="AI142" i="4"/>
  <c r="AH136" i="4"/>
  <c r="AI136" i="4"/>
  <c r="AH134" i="4"/>
  <c r="AI134" i="4"/>
  <c r="AH157" i="4"/>
  <c r="AJ157" i="4" s="1"/>
  <c r="AK157" i="4" s="1"/>
  <c r="AI157" i="4"/>
  <c r="AH130" i="4"/>
  <c r="AI130" i="4"/>
  <c r="AH198" i="4"/>
  <c r="AJ198" i="4" s="1"/>
  <c r="AK198" i="4" s="1"/>
  <c r="AI198" i="4"/>
  <c r="AH162" i="4"/>
  <c r="AJ162" i="4" s="1"/>
  <c r="AK162" i="4" s="1"/>
  <c r="AI162" i="4"/>
  <c r="AH120" i="4"/>
  <c r="AI120" i="4"/>
  <c r="AH178" i="4"/>
  <c r="AJ178" i="4" s="1"/>
  <c r="AK178" i="4" s="1"/>
  <c r="AI178" i="4"/>
  <c r="AH203" i="4"/>
  <c r="AJ203" i="4" s="1"/>
  <c r="AK203" i="4" s="1"/>
  <c r="AI203" i="4"/>
  <c r="AH176" i="4"/>
  <c r="AJ176" i="4" s="1"/>
  <c r="AK176" i="4" s="1"/>
  <c r="AI176" i="4"/>
  <c r="AH143" i="4"/>
  <c r="AJ143" i="4" s="1"/>
  <c r="AK143" i="4" s="1"/>
  <c r="AI143" i="4"/>
  <c r="AH154" i="4"/>
  <c r="AJ154" i="4" s="1"/>
  <c r="AK154" i="4" s="1"/>
  <c r="AI154" i="4"/>
  <c r="AH138" i="4"/>
  <c r="AI138" i="4"/>
  <c r="AH145" i="4"/>
  <c r="AJ145" i="4" s="1"/>
  <c r="AK145" i="4" s="1"/>
  <c r="AI145" i="4"/>
  <c r="AI172" i="4"/>
  <c r="AH172" i="4"/>
  <c r="AJ172" i="4" s="1"/>
  <c r="AK172" i="4" s="1"/>
  <c r="AH108" i="4"/>
  <c r="AI108" i="4"/>
  <c r="AH141" i="4"/>
  <c r="AJ141" i="4" s="1"/>
  <c r="AK141" i="4" s="1"/>
  <c r="AI141" i="4"/>
  <c r="AH155" i="4"/>
  <c r="AJ155" i="4" s="1"/>
  <c r="AK155" i="4" s="1"/>
  <c r="AI155" i="4"/>
  <c r="AH140" i="4"/>
  <c r="AJ140" i="4" s="1"/>
  <c r="AK140" i="4" s="1"/>
  <c r="AI140" i="4"/>
  <c r="AH171" i="4"/>
  <c r="AJ171" i="4" s="1"/>
  <c r="AK171" i="4" s="1"/>
  <c r="AI171" i="4"/>
  <c r="AH119" i="4"/>
  <c r="AI119" i="4"/>
  <c r="AH163" i="4"/>
  <c r="AJ163" i="4" s="1"/>
  <c r="AK163" i="4" s="1"/>
  <c r="AI163" i="4"/>
  <c r="AH201" i="4"/>
  <c r="AJ201" i="4" s="1"/>
  <c r="AK201" i="4" s="1"/>
  <c r="AI201" i="4"/>
  <c r="AH158" i="4"/>
  <c r="AJ158" i="4" s="1"/>
  <c r="AK158" i="4" s="1"/>
  <c r="AI158" i="4"/>
  <c r="AH104" i="4"/>
  <c r="AI104" i="4"/>
  <c r="AH87" i="4"/>
  <c r="AI87" i="4"/>
  <c r="AH101" i="4"/>
  <c r="AI101" i="4"/>
  <c r="AH148" i="4"/>
  <c r="AJ148" i="4" s="1"/>
  <c r="AK148" i="4" s="1"/>
  <c r="AI148" i="4"/>
  <c r="AH147" i="4"/>
  <c r="AJ147" i="4" s="1"/>
  <c r="AK147" i="4" s="1"/>
  <c r="AI147" i="4"/>
  <c r="AH114" i="4"/>
  <c r="AI114" i="4"/>
  <c r="AH156" i="4"/>
  <c r="AJ156" i="4" s="1"/>
  <c r="AK156" i="4" s="1"/>
  <c r="AI156" i="4"/>
  <c r="AH165" i="4"/>
  <c r="AJ165" i="4" s="1"/>
  <c r="AK165" i="4" s="1"/>
  <c r="AI165" i="4"/>
  <c r="AH196" i="4"/>
  <c r="AJ196" i="4" s="1"/>
  <c r="AK196" i="4" s="1"/>
  <c r="AI196" i="4"/>
  <c r="AH139" i="4"/>
  <c r="AJ139" i="4" s="1"/>
  <c r="AK139" i="4" s="1"/>
  <c r="AI139" i="4"/>
  <c r="AH174" i="4"/>
  <c r="AJ174" i="4" s="1"/>
  <c r="AK174" i="4" s="1"/>
  <c r="AI174" i="4"/>
  <c r="AI144" i="4"/>
  <c r="AH144" i="4"/>
  <c r="AJ144" i="4" s="1"/>
  <c r="AK144" i="4" s="1"/>
  <c r="AH132" i="4"/>
  <c r="AI132" i="4"/>
  <c r="AH189" i="4"/>
  <c r="AJ189" i="4" s="1"/>
  <c r="AK189" i="4" s="1"/>
  <c r="AI189" i="4"/>
  <c r="AH186" i="4"/>
  <c r="AJ186" i="4" s="1"/>
  <c r="AK186" i="4" s="1"/>
  <c r="AI186" i="4"/>
  <c r="AI102" i="4"/>
  <c r="AH137" i="4"/>
  <c r="AI137" i="4"/>
  <c r="AH126" i="4"/>
  <c r="AI126" i="4"/>
  <c r="AH180" i="4"/>
  <c r="AJ180" i="4" s="1"/>
  <c r="AK180" i="4" s="1"/>
  <c r="AI180" i="4"/>
  <c r="AH181" i="4"/>
  <c r="AJ181" i="4" s="1"/>
  <c r="AK181" i="4" s="1"/>
  <c r="AI181" i="4"/>
  <c r="AH191" i="4"/>
  <c r="AJ191" i="4" s="1"/>
  <c r="AK191" i="4" s="1"/>
  <c r="AI191" i="4"/>
  <c r="AH179" i="4"/>
  <c r="AJ179" i="4" s="1"/>
  <c r="AK179" i="4" s="1"/>
  <c r="AI179" i="4"/>
  <c r="AH200" i="4"/>
  <c r="AJ200" i="4" s="1"/>
  <c r="AK200" i="4" s="1"/>
  <c r="AI200" i="4"/>
  <c r="AH109" i="4"/>
  <c r="AI109" i="4"/>
  <c r="AH166" i="4"/>
  <c r="AJ166" i="4" s="1"/>
  <c r="AK166" i="4" s="1"/>
  <c r="AI166" i="4"/>
  <c r="AH161" i="4"/>
  <c r="AJ161" i="4" s="1"/>
  <c r="AK161" i="4" s="1"/>
  <c r="AI161" i="4"/>
  <c r="AH183" i="4"/>
  <c r="AJ183" i="4" s="1"/>
  <c r="AK183" i="4" s="1"/>
  <c r="AI183" i="4"/>
  <c r="AH150" i="4"/>
  <c r="AJ150" i="4" s="1"/>
  <c r="AK150" i="4" s="1"/>
  <c r="AI150" i="4"/>
  <c r="AH170" i="4"/>
  <c r="AJ170" i="4" s="1"/>
  <c r="AK170" i="4" s="1"/>
  <c r="AI170" i="4"/>
  <c r="AH107" i="4"/>
  <c r="AI107" i="4"/>
  <c r="AJ149" i="4"/>
  <c r="AK149" i="4" s="1"/>
  <c r="AJ5" i="4" l="1"/>
  <c r="AM197" i="4"/>
  <c r="AM183" i="4"/>
  <c r="AM200" i="4"/>
  <c r="AM180" i="4"/>
  <c r="AM186" i="4"/>
  <c r="AM174" i="4"/>
  <c r="AM156" i="4"/>
  <c r="AM201" i="4"/>
  <c r="AM140" i="4"/>
  <c r="AM143" i="4"/>
  <c r="AM157" i="4"/>
  <c r="AM160" i="4"/>
  <c r="AM202" i="4"/>
  <c r="AM195" i="4"/>
  <c r="AM151" i="4"/>
  <c r="AM189" i="4"/>
  <c r="AM139" i="4"/>
  <c r="AM163" i="4"/>
  <c r="AM155" i="4"/>
  <c r="AM145" i="4"/>
  <c r="AM176" i="4"/>
  <c r="AM162" i="4"/>
  <c r="AM190" i="4"/>
  <c r="AM164" i="4"/>
  <c r="AM187" i="4"/>
  <c r="AM192" i="4"/>
  <c r="AM193" i="4"/>
  <c r="AM179" i="4"/>
  <c r="AM159" i="4"/>
  <c r="AM196" i="4"/>
  <c r="AM147" i="4"/>
  <c r="AM141" i="4"/>
  <c r="AM203" i="4"/>
  <c r="AM198" i="4"/>
  <c r="AM194" i="4"/>
  <c r="AM169" i="4"/>
  <c r="AM146" i="4"/>
  <c r="AM188" i="4"/>
  <c r="AM175" i="4"/>
  <c r="AM161" i="4"/>
  <c r="AM191" i="4"/>
  <c r="AM185" i="4"/>
  <c r="AM144" i="4"/>
  <c r="AM184" i="4"/>
  <c r="AM170" i="4"/>
  <c r="AM181" i="4"/>
  <c r="AM165" i="4"/>
  <c r="AM148" i="4"/>
  <c r="AM158" i="4"/>
  <c r="AM171" i="4"/>
  <c r="AM154" i="4"/>
  <c r="AM178" i="4"/>
  <c r="AM142" i="4"/>
  <c r="AM167" i="4"/>
  <c r="AM168" i="4"/>
  <c r="AM182" i="4"/>
  <c r="AM152" i="4"/>
  <c r="AM149" i="4"/>
  <c r="AM166" i="4"/>
  <c r="AM173" i="4"/>
  <c r="AM177" i="4"/>
  <c r="AM199" i="4"/>
  <c r="AM172" i="4"/>
  <c r="AM153" i="4"/>
  <c r="AM150" i="4"/>
  <c r="AO184" i="4" l="1"/>
  <c r="AP184" i="4" s="1"/>
  <c r="AO188" i="4"/>
  <c r="AQ188" i="4" s="1"/>
  <c r="AO141" i="4"/>
  <c r="AP141" i="4" s="1"/>
  <c r="AO193" i="4"/>
  <c r="AP193" i="4" s="1"/>
  <c r="AO145" i="4"/>
  <c r="AQ145" i="4" s="1"/>
  <c r="AO202" i="4"/>
  <c r="AQ202" i="4" s="1"/>
  <c r="AO156" i="4"/>
  <c r="AQ156" i="4" s="1"/>
  <c r="AO174" i="4"/>
  <c r="AQ174" i="4" s="1"/>
  <c r="AO172" i="4"/>
  <c r="AP172" i="4" s="1"/>
  <c r="AO180" i="4"/>
  <c r="AQ180" i="4" s="1"/>
  <c r="AO153" i="4"/>
  <c r="AQ153" i="4" s="1"/>
  <c r="AO147" i="4"/>
  <c r="AP147" i="4" s="1"/>
  <c r="AO185" i="4"/>
  <c r="AP185" i="4" s="1"/>
  <c r="AO186" i="4"/>
  <c r="AQ186" i="4" s="1"/>
  <c r="AO169" i="4"/>
  <c r="AQ169" i="4" s="1"/>
  <c r="AO199" i="4"/>
  <c r="AQ199" i="4" s="1"/>
  <c r="AO168" i="4"/>
  <c r="AQ168" i="4" s="1"/>
  <c r="AO148" i="4"/>
  <c r="AQ148" i="4" s="1"/>
  <c r="AO194" i="4"/>
  <c r="AQ194" i="4" s="1"/>
  <c r="AO190" i="4"/>
  <c r="AQ190" i="4" s="1"/>
  <c r="AO189" i="4"/>
  <c r="AP189" i="4" s="1"/>
  <c r="AO157" i="4"/>
  <c r="AQ157" i="4" s="1"/>
  <c r="AO200" i="4"/>
  <c r="AQ200" i="4" s="1"/>
  <c r="AO166" i="4"/>
  <c r="AQ166" i="4" s="1"/>
  <c r="AO144" i="4"/>
  <c r="AQ144" i="4" s="1"/>
  <c r="AO192" i="4"/>
  <c r="AQ192" i="4" s="1"/>
  <c r="AO196" i="4"/>
  <c r="AQ196" i="4" s="1"/>
  <c r="AO160" i="4"/>
  <c r="AP160" i="4" s="1"/>
  <c r="AO158" i="4"/>
  <c r="AQ158" i="4" s="1"/>
  <c r="AO139" i="4"/>
  <c r="AQ139" i="4" s="1"/>
  <c r="AO178" i="4"/>
  <c r="AQ178" i="4" s="1"/>
  <c r="AO154" i="4"/>
  <c r="AP154" i="4" s="1"/>
  <c r="AO155" i="4"/>
  <c r="AP155" i="4" s="1"/>
  <c r="AO171" i="4"/>
  <c r="AQ171" i="4" s="1"/>
  <c r="AO163" i="4"/>
  <c r="AQ163" i="4" s="1"/>
  <c r="AO182" i="4"/>
  <c r="AQ182" i="4" s="1"/>
  <c r="AO177" i="4"/>
  <c r="AQ177" i="4" s="1"/>
  <c r="AO165" i="4"/>
  <c r="AP165" i="4" s="1"/>
  <c r="AO143" i="4"/>
  <c r="AQ143" i="4" s="1"/>
  <c r="AO183" i="4"/>
  <c r="AQ183" i="4" s="1"/>
  <c r="AO142" i="4"/>
  <c r="AP142" i="4" s="1"/>
  <c r="AO181" i="4"/>
  <c r="AQ181" i="4" s="1"/>
  <c r="AO161" i="4"/>
  <c r="AQ161" i="4" s="1"/>
  <c r="AO198" i="4"/>
  <c r="AQ198" i="4" s="1"/>
  <c r="AO159" i="4"/>
  <c r="AQ159" i="4" s="1"/>
  <c r="AO162" i="4"/>
  <c r="AQ162" i="4" s="1"/>
  <c r="AO151" i="4"/>
  <c r="AP151" i="4" s="1"/>
  <c r="AO140" i="4"/>
  <c r="AQ140" i="4" s="1"/>
  <c r="AO197" i="4"/>
  <c r="AQ197" i="4" s="1"/>
  <c r="AO150" i="4"/>
  <c r="AP150" i="4" s="1"/>
  <c r="AO149" i="4"/>
  <c r="AQ149" i="4" s="1"/>
  <c r="AO152" i="4"/>
  <c r="AQ152" i="4" s="1"/>
  <c r="AO146" i="4"/>
  <c r="AQ146" i="4" s="1"/>
  <c r="AO187" i="4"/>
  <c r="AQ187" i="4" s="1"/>
  <c r="AO164" i="4"/>
  <c r="AQ164" i="4" s="1"/>
  <c r="AO167" i="4"/>
  <c r="AQ167" i="4" s="1"/>
  <c r="AO191" i="4"/>
  <c r="AQ191" i="4" s="1"/>
  <c r="AO173" i="4"/>
  <c r="AP173" i="4" s="1"/>
  <c r="AO170" i="4"/>
  <c r="AQ170" i="4" s="1"/>
  <c r="AO175" i="4"/>
  <c r="AP175" i="4" s="1"/>
  <c r="AO203" i="4"/>
  <c r="AP203" i="4" s="1"/>
  <c r="AO179" i="4"/>
  <c r="AQ179" i="4" s="1"/>
  <c r="AO176" i="4"/>
  <c r="AQ176" i="4" s="1"/>
  <c r="AO195" i="4"/>
  <c r="AP195" i="4" s="1"/>
  <c r="AO201" i="4"/>
  <c r="AP201" i="4" s="1"/>
  <c r="AK5" i="4"/>
  <c r="AL5" i="4" s="1"/>
  <c r="AM5" i="4" s="1"/>
  <c r="AJ6" i="4"/>
  <c r="AQ141" i="4" l="1"/>
  <c r="AP169" i="4"/>
  <c r="AQ184" i="4"/>
  <c r="AQ172" i="4"/>
  <c r="AP183" i="4"/>
  <c r="AP188" i="4"/>
  <c r="AP174" i="4"/>
  <c r="AP158" i="4"/>
  <c r="AQ203" i="4"/>
  <c r="AQ147" i="4"/>
  <c r="AP197" i="4"/>
  <c r="AP140" i="4"/>
  <c r="AP200" i="4"/>
  <c r="AQ193" i="4"/>
  <c r="AP139" i="4"/>
  <c r="AP153" i="4"/>
  <c r="AP199" i="4"/>
  <c r="AP168" i="4"/>
  <c r="AQ189" i="4"/>
  <c r="AP182" i="4"/>
  <c r="AP157" i="4"/>
  <c r="AP164" i="4"/>
  <c r="AQ142" i="4"/>
  <c r="AQ160" i="4"/>
  <c r="AQ151" i="4"/>
  <c r="AP163" i="4"/>
  <c r="AP170" i="4"/>
  <c r="AP187" i="4"/>
  <c r="AP149" i="4"/>
  <c r="AQ165" i="4"/>
  <c r="AQ195" i="4"/>
  <c r="AP194" i="4"/>
  <c r="AP202" i="4"/>
  <c r="AQ175" i="4"/>
  <c r="AP144" i="4"/>
  <c r="AP161" i="4"/>
  <c r="AP191" i="4"/>
  <c r="AP145" i="4"/>
  <c r="AP176" i="4"/>
  <c r="AP178" i="4"/>
  <c r="AQ201" i="4"/>
  <c r="AQ155" i="4"/>
  <c r="AQ173" i="4"/>
  <c r="AQ185" i="4"/>
  <c r="AP152" i="4"/>
  <c r="AP198" i="4"/>
  <c r="AP156" i="4"/>
  <c r="AP159" i="4"/>
  <c r="AP192" i="4"/>
  <c r="AQ154" i="4"/>
  <c r="AP143" i="4"/>
  <c r="AP146" i="4"/>
  <c r="AP190" i="4"/>
  <c r="AP148" i="4"/>
  <c r="AP177" i="4"/>
  <c r="AP162" i="4"/>
  <c r="AP181" i="4"/>
  <c r="AQ150" i="4"/>
  <c r="AP166" i="4"/>
  <c r="AP196" i="4"/>
  <c r="AP167" i="4"/>
  <c r="AP186" i="4"/>
  <c r="AP171" i="4"/>
  <c r="AP180" i="4"/>
  <c r="AP179" i="4"/>
  <c r="AO5" i="4"/>
  <c r="AP5" i="4" s="1"/>
  <c r="AK6" i="4"/>
  <c r="AL6" i="4" s="1"/>
  <c r="AM6" i="4" s="1"/>
  <c r="AJ7" i="4"/>
  <c r="AO6" i="4" l="1"/>
  <c r="AP6" i="4" s="1"/>
  <c r="AQ5" i="4"/>
  <c r="AK7" i="4"/>
  <c r="AL7" i="4" s="1"/>
  <c r="AM7" i="4" s="1"/>
  <c r="AJ8" i="4"/>
  <c r="AQ6" i="4" l="1"/>
  <c r="AO7" i="4"/>
  <c r="AP7" i="4" s="1"/>
  <c r="AK8" i="4"/>
  <c r="AL8" i="4" s="1"/>
  <c r="AM8" i="4" s="1"/>
  <c r="AJ9" i="4"/>
  <c r="AQ7" i="4" l="1"/>
  <c r="AO8" i="4"/>
  <c r="AP8" i="4" s="1"/>
  <c r="AK9" i="4"/>
  <c r="AJ10" i="4"/>
  <c r="AQ8" i="4" l="1"/>
  <c r="AK10" i="4"/>
  <c r="AJ11" i="4"/>
  <c r="AL9" i="4"/>
  <c r="AM9" i="4" s="1"/>
  <c r="AO9" i="4" l="1"/>
  <c r="AP9" i="4" s="1"/>
  <c r="AL10" i="4"/>
  <c r="AM10" i="4" s="1"/>
  <c r="AK11" i="4"/>
  <c r="AJ12" i="4"/>
  <c r="AO10" i="4" l="1"/>
  <c r="AP10" i="4" s="1"/>
  <c r="AQ9" i="4"/>
  <c r="AK12" i="4"/>
  <c r="AJ13" i="4"/>
  <c r="AL11" i="4"/>
  <c r="AM11" i="4" s="1"/>
  <c r="AQ10" i="4" l="1"/>
  <c r="AO11" i="4"/>
  <c r="AP11" i="4" s="1"/>
  <c r="AL12" i="4"/>
  <c r="AM12" i="4" s="1"/>
  <c r="AK13" i="4"/>
  <c r="AJ14" i="4"/>
  <c r="AO12" i="4" l="1"/>
  <c r="AP12" i="4" s="1"/>
  <c r="AQ11" i="4"/>
  <c r="AK14" i="4"/>
  <c r="AJ15" i="4"/>
  <c r="AL13" i="4"/>
  <c r="AM13" i="4" s="1"/>
  <c r="AQ12" i="4" l="1"/>
  <c r="AO13" i="4"/>
  <c r="AP13" i="4" s="1"/>
  <c r="AL14" i="4"/>
  <c r="AM14" i="4" s="1"/>
  <c r="AK15" i="4"/>
  <c r="AJ16" i="4"/>
  <c r="AQ13" i="4" l="1"/>
  <c r="AO14" i="4"/>
  <c r="AP14" i="4" s="1"/>
  <c r="AL15" i="4"/>
  <c r="AM15" i="4" s="1"/>
  <c r="AK16" i="4"/>
  <c r="AJ17" i="4"/>
  <c r="AJ18" i="4" s="1"/>
  <c r="AQ14" i="4" l="1"/>
  <c r="AO15" i="4"/>
  <c r="AP15" i="4" s="1"/>
  <c r="AL16" i="4"/>
  <c r="AM16" i="4" s="1"/>
  <c r="AK17" i="4"/>
  <c r="AQ15" i="4" l="1"/>
  <c r="AO16" i="4"/>
  <c r="AP16" i="4" s="1"/>
  <c r="AL17" i="4"/>
  <c r="AM17" i="4" s="1"/>
  <c r="AK18" i="4"/>
  <c r="AJ19" i="4"/>
  <c r="AO17" i="4" l="1"/>
  <c r="AP17" i="4" s="1"/>
  <c r="AQ16" i="4"/>
  <c r="AL18" i="4"/>
  <c r="AM18" i="4" s="1"/>
  <c r="AK19" i="4"/>
  <c r="AJ20" i="4"/>
  <c r="AQ17" i="4" l="1"/>
  <c r="AO18" i="4"/>
  <c r="AP18" i="4" s="1"/>
  <c r="AL19" i="4"/>
  <c r="AM19" i="4" s="1"/>
  <c r="AK20" i="4"/>
  <c r="AJ21" i="4"/>
  <c r="AO19" i="4" l="1"/>
  <c r="AP19" i="4" s="1"/>
  <c r="AQ18" i="4"/>
  <c r="AL20" i="4"/>
  <c r="AM20" i="4" s="1"/>
  <c r="AK21" i="4"/>
  <c r="AJ22" i="4"/>
  <c r="AQ19" i="4" l="1"/>
  <c r="AO20" i="4"/>
  <c r="AP20" i="4" s="1"/>
  <c r="AL21" i="4"/>
  <c r="AM21" i="4" s="1"/>
  <c r="AK22" i="4"/>
  <c r="AJ23" i="4"/>
  <c r="AQ20" i="4" l="1"/>
  <c r="AO21" i="4"/>
  <c r="AP21" i="4" s="1"/>
  <c r="AL22" i="4"/>
  <c r="AM22" i="4" s="1"/>
  <c r="AK23" i="4"/>
  <c r="AJ24" i="4"/>
  <c r="AO22" i="4" l="1"/>
  <c r="AP22" i="4" s="1"/>
  <c r="AQ21" i="4"/>
  <c r="AL23" i="4"/>
  <c r="AM23" i="4" s="1"/>
  <c r="AK24" i="4"/>
  <c r="AJ25" i="4"/>
  <c r="AQ22" i="4" l="1"/>
  <c r="AO23" i="4"/>
  <c r="AQ23" i="4" s="1"/>
  <c r="AL24" i="4"/>
  <c r="AM24" i="4" s="1"/>
  <c r="AK25" i="4"/>
  <c r="AJ26" i="4"/>
  <c r="AO24" i="4" l="1"/>
  <c r="AP24" i="4" s="1"/>
  <c r="AP23" i="4"/>
  <c r="AL25" i="4"/>
  <c r="AM25" i="4" s="1"/>
  <c r="AK26" i="4"/>
  <c r="AJ27" i="4"/>
  <c r="AO25" i="4" l="1"/>
  <c r="AQ25" i="4" s="1"/>
  <c r="AQ24" i="4"/>
  <c r="AL26" i="4"/>
  <c r="AM26" i="4" s="1"/>
  <c r="AK27" i="4"/>
  <c r="AJ28" i="4"/>
  <c r="AP25" i="4" l="1"/>
  <c r="AO26" i="4"/>
  <c r="AP26" i="4" s="1"/>
  <c r="AL27" i="4"/>
  <c r="AM27" i="4" s="1"/>
  <c r="AK28" i="4"/>
  <c r="AJ29" i="4"/>
  <c r="AK29" i="4" s="1"/>
  <c r="AQ26" i="4" l="1"/>
  <c r="AO27" i="4"/>
  <c r="AQ27" i="4" s="1"/>
  <c r="AL28" i="4"/>
  <c r="AM28" i="4" s="1"/>
  <c r="AJ30" i="4"/>
  <c r="AP27" i="4" l="1"/>
  <c r="AO28" i="4"/>
  <c r="AQ28" i="4" s="1"/>
  <c r="AL29" i="4"/>
  <c r="AM29" i="4" s="1"/>
  <c r="AK30" i="4"/>
  <c r="AJ31" i="4"/>
  <c r="AP28" i="4" l="1"/>
  <c r="AO29" i="4"/>
  <c r="AQ29" i="4" s="1"/>
  <c r="AL30" i="4"/>
  <c r="AM30" i="4" s="1"/>
  <c r="AK31" i="4"/>
  <c r="AJ32" i="4"/>
  <c r="AP29" i="4" l="1"/>
  <c r="AO30" i="4"/>
  <c r="AQ30" i="4" s="1"/>
  <c r="AL31" i="4"/>
  <c r="AM31" i="4" s="1"/>
  <c r="AK32" i="4"/>
  <c r="AJ33" i="4"/>
  <c r="AP30" i="4" l="1"/>
  <c r="AO31" i="4"/>
  <c r="AQ31" i="4" s="1"/>
  <c r="AK33" i="4"/>
  <c r="AJ34" i="4"/>
  <c r="AL32" i="4"/>
  <c r="AM32" i="4" s="1"/>
  <c r="AP31" i="4" l="1"/>
  <c r="AO32" i="4"/>
  <c r="AP32" i="4" s="1"/>
  <c r="AK34" i="4"/>
  <c r="AJ35" i="4"/>
  <c r="AL33" i="4"/>
  <c r="AM33" i="4" s="1"/>
  <c r="AO33" i="4" l="1"/>
  <c r="AQ33" i="4" s="1"/>
  <c r="AQ32" i="4"/>
  <c r="AK35" i="4"/>
  <c r="AJ36" i="4"/>
  <c r="AL34" i="4"/>
  <c r="AM34" i="4" s="1"/>
  <c r="AP33" i="4" l="1"/>
  <c r="AO34" i="4"/>
  <c r="AQ34" i="4" s="1"/>
  <c r="AK36" i="4"/>
  <c r="AJ37" i="4"/>
  <c r="AJ38" i="4" s="1"/>
  <c r="AL35" i="4"/>
  <c r="AM35" i="4" s="1"/>
  <c r="AO35" i="4" l="1"/>
  <c r="AP35" i="4" s="1"/>
  <c r="AP34" i="4"/>
  <c r="AK37" i="4"/>
  <c r="AL36" i="4"/>
  <c r="AM36" i="4" s="1"/>
  <c r="AQ35" i="4" l="1"/>
  <c r="AO36" i="4"/>
  <c r="AP36" i="4" s="1"/>
  <c r="AK38" i="4"/>
  <c r="AJ39" i="4"/>
  <c r="AL37" i="4"/>
  <c r="AM37" i="4" s="1"/>
  <c r="AQ36" i="4" l="1"/>
  <c r="AO37" i="4"/>
  <c r="AQ37" i="4" s="1"/>
  <c r="AK39" i="4"/>
  <c r="AJ40" i="4"/>
  <c r="AL38" i="4"/>
  <c r="AM38" i="4" s="1"/>
  <c r="AP37" i="4" l="1"/>
  <c r="AO38" i="4"/>
  <c r="AP38" i="4" s="1"/>
  <c r="AK40" i="4"/>
  <c r="AJ41" i="4"/>
  <c r="AL39" i="4"/>
  <c r="AQ38" i="4" l="1"/>
  <c r="AL40" i="4"/>
  <c r="AM40" i="4" s="1"/>
  <c r="AM39" i="4"/>
  <c r="AK41" i="4"/>
  <c r="AJ42" i="4"/>
  <c r="AO39" i="4" l="1"/>
  <c r="AQ39" i="4" s="1"/>
  <c r="AO40" i="4"/>
  <c r="AP40" i="4" s="1"/>
  <c r="AK42" i="4"/>
  <c r="AJ43" i="4"/>
  <c r="AL41" i="4"/>
  <c r="AP39" i="4" l="1"/>
  <c r="AQ40" i="4"/>
  <c r="AL42" i="4"/>
  <c r="AM42" i="4" s="1"/>
  <c r="AK43" i="4"/>
  <c r="AJ44" i="4"/>
  <c r="AM41" i="4"/>
  <c r="AO42" i="4" l="1"/>
  <c r="AP42" i="4" s="1"/>
  <c r="AO41" i="4"/>
  <c r="AP41" i="4" s="1"/>
  <c r="AK44" i="4"/>
  <c r="AJ45" i="4"/>
  <c r="AL43" i="4"/>
  <c r="AM43" i="4" s="1"/>
  <c r="AQ41" i="4" l="1"/>
  <c r="AQ42" i="4"/>
  <c r="AO43" i="4"/>
  <c r="AQ43" i="4" s="1"/>
  <c r="AL44" i="4"/>
  <c r="AK45" i="4"/>
  <c r="AJ46" i="4"/>
  <c r="AP43" i="4" l="1"/>
  <c r="AL45" i="4"/>
  <c r="AM45" i="4" s="1"/>
  <c r="AK46" i="4"/>
  <c r="AJ47" i="4"/>
  <c r="AM44" i="4"/>
  <c r="AO44" i="4" l="1"/>
  <c r="AQ44" i="4" s="1"/>
  <c r="AO45" i="4"/>
  <c r="AP45" i="4" s="1"/>
  <c r="AK47" i="4"/>
  <c r="AJ48" i="4"/>
  <c r="AL46" i="4"/>
  <c r="AM46" i="4" s="1"/>
  <c r="AQ45" i="4" l="1"/>
  <c r="AP44" i="4"/>
  <c r="AO46" i="4"/>
  <c r="AQ46" i="4" s="1"/>
  <c r="AK48" i="4"/>
  <c r="AJ49" i="4"/>
  <c r="AL47" i="4"/>
  <c r="AM47" i="4" s="1"/>
  <c r="AP46" i="4" l="1"/>
  <c r="AO47" i="4"/>
  <c r="AQ47" i="4" s="1"/>
  <c r="AK49" i="4"/>
  <c r="AJ50" i="4"/>
  <c r="AL48" i="4"/>
  <c r="AM48" i="4" s="1"/>
  <c r="AP47" i="4" l="1"/>
  <c r="AO48" i="4"/>
  <c r="AQ48" i="4" s="1"/>
  <c r="AK50" i="4"/>
  <c r="AJ51" i="4"/>
  <c r="AL49" i="4"/>
  <c r="AM49" i="4" s="1"/>
  <c r="AP48" i="4" l="1"/>
  <c r="AO49" i="4"/>
  <c r="AP49" i="4" s="1"/>
  <c r="AK51" i="4"/>
  <c r="AJ52" i="4"/>
  <c r="AL50" i="4"/>
  <c r="AQ49" i="4" l="1"/>
  <c r="AL51" i="4"/>
  <c r="AM51" i="4" s="1"/>
  <c r="AK52" i="4"/>
  <c r="AJ53" i="4"/>
  <c r="AM50" i="4"/>
  <c r="AO50" i="4" l="1"/>
  <c r="AQ50" i="4" s="1"/>
  <c r="AO51" i="4"/>
  <c r="AP51" i="4" s="1"/>
  <c r="AL52" i="4"/>
  <c r="AM52" i="4" s="1"/>
  <c r="AK53" i="4"/>
  <c r="AJ54" i="4"/>
  <c r="AP50" i="4" l="1"/>
  <c r="AQ51" i="4"/>
  <c r="AO52" i="4"/>
  <c r="AQ52" i="4" s="1"/>
  <c r="AL53" i="4"/>
  <c r="AM53" i="4" s="1"/>
  <c r="AK54" i="4"/>
  <c r="AJ55" i="4"/>
  <c r="AP52" i="4" l="1"/>
  <c r="AO53" i="4"/>
  <c r="AP53" i="4" s="1"/>
  <c r="AK55" i="4"/>
  <c r="AJ56" i="4"/>
  <c r="AL54" i="4"/>
  <c r="AM54" i="4" s="1"/>
  <c r="AQ53" i="4" l="1"/>
  <c r="AO54" i="4"/>
  <c r="AQ54" i="4" s="1"/>
  <c r="AL55" i="4"/>
  <c r="AM55" i="4" s="1"/>
  <c r="AO55" i="4" s="1"/>
  <c r="AQ55" i="4" s="1"/>
  <c r="AK56" i="4"/>
  <c r="AJ57" i="4"/>
  <c r="AP55" i="4" l="1"/>
  <c r="AP54" i="4"/>
  <c r="AL56" i="4"/>
  <c r="AM56" i="4" s="1"/>
  <c r="AO56" i="4" s="1"/>
  <c r="AP56" i="4" s="1"/>
  <c r="AK57" i="4"/>
  <c r="AJ58" i="4"/>
  <c r="AQ56" i="4" l="1"/>
  <c r="AL57" i="4"/>
  <c r="AM57" i="4" s="1"/>
  <c r="AK58" i="4"/>
  <c r="AJ59" i="4"/>
  <c r="AO57" i="4" l="1"/>
  <c r="AP57" i="4" s="1"/>
  <c r="AL58" i="4"/>
  <c r="AM58" i="4" s="1"/>
  <c r="AK59" i="4"/>
  <c r="AJ60" i="4"/>
  <c r="AO58" i="4" l="1"/>
  <c r="AQ58" i="4" s="1"/>
  <c r="AQ57" i="4"/>
  <c r="AL59" i="4"/>
  <c r="AM59" i="4" s="1"/>
  <c r="AO59" i="4" s="1"/>
  <c r="AQ59" i="4" s="1"/>
  <c r="AK60" i="4"/>
  <c r="AJ61" i="4"/>
  <c r="AP58" i="4" l="1"/>
  <c r="AP59" i="4"/>
  <c r="AL60" i="4"/>
  <c r="AM60" i="4" s="1"/>
  <c r="AK61" i="4"/>
  <c r="AJ62" i="4"/>
  <c r="AO60" i="4" l="1"/>
  <c r="AP60" i="4" s="1"/>
  <c r="AK62" i="4"/>
  <c r="AJ63" i="4"/>
  <c r="AL61" i="4"/>
  <c r="AM61" i="4" s="1"/>
  <c r="AO61" i="4" l="1"/>
  <c r="AP61" i="4" s="1"/>
  <c r="AQ60" i="4"/>
  <c r="AK63" i="4"/>
  <c r="AJ64" i="4"/>
  <c r="AL62" i="4"/>
  <c r="AM62" i="4" s="1"/>
  <c r="AO62" i="4" l="1"/>
  <c r="AQ62" i="4" s="1"/>
  <c r="AQ61" i="4"/>
  <c r="AK64" i="4"/>
  <c r="AJ65" i="4"/>
  <c r="AL63" i="4"/>
  <c r="AM63" i="4" s="1"/>
  <c r="AK65" i="4" l="1"/>
  <c r="AJ66" i="4"/>
  <c r="AO63" i="4"/>
  <c r="AQ63" i="4" s="1"/>
  <c r="AP62" i="4"/>
  <c r="AL64" i="4"/>
  <c r="AM64" i="4" s="1"/>
  <c r="AJ67" i="4" l="1"/>
  <c r="AK66" i="4"/>
  <c r="AP63" i="4"/>
  <c r="AO64" i="4"/>
  <c r="AP64" i="4" s="1"/>
  <c r="AL65" i="4"/>
  <c r="AL66" i="4" l="1"/>
  <c r="AM66" i="4" s="1"/>
  <c r="AO66" i="4" s="1"/>
  <c r="AP66" i="4" s="1"/>
  <c r="AM65" i="4"/>
  <c r="AO65" i="4" s="1"/>
  <c r="AQ65" i="4" s="1"/>
  <c r="AK67" i="4"/>
  <c r="AJ68" i="4"/>
  <c r="AQ64" i="4"/>
  <c r="AL67" i="4" l="1"/>
  <c r="AM67" i="4" s="1"/>
  <c r="AO67" i="4" s="1"/>
  <c r="AQ67" i="4" s="1"/>
  <c r="AP65" i="4"/>
  <c r="AJ69" i="4"/>
  <c r="AK68" i="4"/>
  <c r="AQ66" i="4"/>
  <c r="AL68" i="4" l="1"/>
  <c r="AM68" i="4" s="1"/>
  <c r="AO68" i="4" s="1"/>
  <c r="AK69" i="4"/>
  <c r="AJ70" i="4"/>
  <c r="AP67" i="4"/>
  <c r="AK70" i="4" l="1"/>
  <c r="AJ71" i="4"/>
  <c r="AL69" i="4"/>
  <c r="AM69" i="4" s="1"/>
  <c r="AO69" i="4" s="1"/>
  <c r="AP68" i="4"/>
  <c r="AQ68" i="4"/>
  <c r="AP69" i="4" l="1"/>
  <c r="AQ69" i="4"/>
  <c r="AK71" i="4"/>
  <c r="AJ72" i="4"/>
  <c r="AL70" i="4"/>
  <c r="AL71" i="4" l="1"/>
  <c r="AM71" i="4" s="1"/>
  <c r="AO71" i="4" s="1"/>
  <c r="AM70" i="4"/>
  <c r="AO70" i="4" s="1"/>
  <c r="AK72" i="4"/>
  <c r="AJ73" i="4"/>
  <c r="AL72" i="4" l="1"/>
  <c r="AM72" i="4" s="1"/>
  <c r="AO72" i="4" s="1"/>
  <c r="AP72" i="4" s="1"/>
  <c r="AK73" i="4"/>
  <c r="AJ74" i="4"/>
  <c r="AQ70" i="4"/>
  <c r="AP70" i="4"/>
  <c r="AP71" i="4"/>
  <c r="AQ71" i="4"/>
  <c r="AQ72" i="4" l="1"/>
  <c r="AL73" i="4"/>
  <c r="AM73" i="4" s="1"/>
  <c r="AO73" i="4" s="1"/>
  <c r="AQ73" i="4" s="1"/>
  <c r="AK74" i="4"/>
  <c r="AJ75" i="4"/>
  <c r="AL74" i="4" l="1"/>
  <c r="AM74" i="4" s="1"/>
  <c r="AO74" i="4" s="1"/>
  <c r="AQ74" i="4" s="1"/>
  <c r="AK75" i="4"/>
  <c r="AJ76" i="4"/>
  <c r="AP73" i="4"/>
  <c r="AL75" i="4" l="1"/>
  <c r="AM75" i="4" s="1"/>
  <c r="AO75" i="4" s="1"/>
  <c r="AP75" i="4" s="1"/>
  <c r="AP74" i="4"/>
  <c r="AK76" i="4"/>
  <c r="AJ77" i="4"/>
  <c r="AL76" i="4" l="1"/>
  <c r="AM76" i="4" s="1"/>
  <c r="AO76" i="4" s="1"/>
  <c r="AQ76" i="4" s="1"/>
  <c r="AQ75" i="4"/>
  <c r="AJ78" i="4"/>
  <c r="AK77" i="4"/>
  <c r="AL77" i="4" l="1"/>
  <c r="AM77" i="4" s="1"/>
  <c r="AO77" i="4" s="1"/>
  <c r="AQ77" i="4" s="1"/>
  <c r="AP76" i="4"/>
  <c r="AK78" i="4"/>
  <c r="AJ79" i="4"/>
  <c r="AL78" i="4" l="1"/>
  <c r="AM78" i="4" s="1"/>
  <c r="AO78" i="4" s="1"/>
  <c r="AP78" i="4" s="1"/>
  <c r="AP77" i="4"/>
  <c r="AK79" i="4"/>
  <c r="AJ80" i="4"/>
  <c r="AL79" i="4" l="1"/>
  <c r="AM79" i="4" s="1"/>
  <c r="AO79" i="4" s="1"/>
  <c r="AQ79" i="4" s="1"/>
  <c r="AQ78" i="4"/>
  <c r="AK80" i="4"/>
  <c r="AJ81" i="4"/>
  <c r="AP79" i="4" l="1"/>
  <c r="AK81" i="4"/>
  <c r="AJ82" i="4"/>
  <c r="AL80" i="4"/>
  <c r="AL81" i="4" l="1"/>
  <c r="AM81" i="4" s="1"/>
  <c r="AO81" i="4" s="1"/>
  <c r="AQ81" i="4" s="1"/>
  <c r="AK82" i="4"/>
  <c r="AJ83" i="4"/>
  <c r="AM80" i="4"/>
  <c r="AO80" i="4" s="1"/>
  <c r="AL82" i="4" l="1"/>
  <c r="AM82" i="4" s="1"/>
  <c r="AO82" i="4" s="1"/>
  <c r="AP82" i="4" s="1"/>
  <c r="AP81" i="4"/>
  <c r="AP80" i="4"/>
  <c r="AQ80" i="4"/>
  <c r="AK83" i="4"/>
  <c r="AJ84" i="4"/>
  <c r="AQ82" i="4" l="1"/>
  <c r="AK84" i="4"/>
  <c r="AJ85" i="4"/>
  <c r="AL83" i="4"/>
  <c r="AL84" i="4" l="1"/>
  <c r="AM84" i="4" s="1"/>
  <c r="AO84" i="4" s="1"/>
  <c r="AM83" i="4"/>
  <c r="AO83" i="4" s="1"/>
  <c r="AK85" i="4"/>
  <c r="AJ86" i="4"/>
  <c r="AL85" i="4" l="1"/>
  <c r="AM85" i="4" s="1"/>
  <c r="AO85" i="4" s="1"/>
  <c r="AP84" i="4"/>
  <c r="AQ84" i="4"/>
  <c r="AK86" i="4"/>
  <c r="AJ87" i="4"/>
  <c r="AQ83" i="4"/>
  <c r="AP83" i="4"/>
  <c r="AQ85" i="4" l="1"/>
  <c r="AP85" i="4"/>
  <c r="AK87" i="4"/>
  <c r="AJ88" i="4"/>
  <c r="AL86" i="4"/>
  <c r="AM86" i="4" s="1"/>
  <c r="AO86" i="4" s="1"/>
  <c r="AQ86" i="4" l="1"/>
  <c r="AP86" i="4"/>
  <c r="AK88" i="4"/>
  <c r="AJ89" i="4"/>
  <c r="AL87" i="4"/>
  <c r="AL88" i="4" s="1"/>
  <c r="AM87" i="4" l="1"/>
  <c r="AO87" i="4" s="1"/>
  <c r="AM88" i="4"/>
  <c r="AO88" i="4" s="1"/>
  <c r="AJ90" i="4"/>
  <c r="AK89" i="4"/>
  <c r="AL89" i="4" s="1"/>
  <c r="AM89" i="4" s="1"/>
  <c r="AO89" i="4" s="1"/>
  <c r="AQ89" i="4" l="1"/>
  <c r="AP89" i="4"/>
  <c r="AP88" i="4"/>
  <c r="AQ88" i="4"/>
  <c r="AQ87" i="4"/>
  <c r="AP87" i="4"/>
  <c r="AJ91" i="4"/>
  <c r="AK90" i="4"/>
  <c r="AL90" i="4" l="1"/>
  <c r="AM90" i="4" s="1"/>
  <c r="AO90" i="4" s="1"/>
  <c r="AJ92" i="4"/>
  <c r="AK91" i="4"/>
  <c r="AQ90" i="4" l="1"/>
  <c r="AP90" i="4"/>
  <c r="AL91" i="4"/>
  <c r="AM91" i="4" s="1"/>
  <c r="AO91" i="4" s="1"/>
  <c r="AK92" i="4"/>
  <c r="AJ93" i="4"/>
  <c r="AQ91" i="4" l="1"/>
  <c r="AP91" i="4"/>
  <c r="AJ94" i="4"/>
  <c r="AK93" i="4"/>
  <c r="AL92" i="4"/>
  <c r="AM92" i="4" s="1"/>
  <c r="AO92" i="4" s="1"/>
  <c r="AQ92" i="4" l="1"/>
  <c r="AP92" i="4"/>
  <c r="AK94" i="4"/>
  <c r="AJ95" i="4"/>
  <c r="AL93" i="4"/>
  <c r="AM93" i="4" s="1"/>
  <c r="AO93" i="4" s="1"/>
  <c r="AP93" i="4" l="1"/>
  <c r="AQ93" i="4"/>
  <c r="AK95" i="4"/>
  <c r="AJ96" i="4"/>
  <c r="AL94" i="4"/>
  <c r="AL95" i="4" s="1"/>
  <c r="AM95" i="4" s="1"/>
  <c r="AO95" i="4" s="1"/>
  <c r="AM94" i="4" l="1"/>
  <c r="AO94" i="4" s="1"/>
  <c r="AK96" i="4"/>
  <c r="AJ97" i="4"/>
  <c r="AQ95" i="4"/>
  <c r="AP95" i="4"/>
  <c r="AJ98" i="4" l="1"/>
  <c r="AK97" i="4"/>
  <c r="AL96" i="4"/>
  <c r="AM96" i="4" s="1"/>
  <c r="AO96" i="4" s="1"/>
  <c r="AQ94" i="4"/>
  <c r="AP94" i="4"/>
  <c r="AQ96" i="4" l="1"/>
  <c r="AP96" i="4"/>
  <c r="AK98" i="4"/>
  <c r="AJ99" i="4"/>
  <c r="AL97" i="4"/>
  <c r="W77" i="2"/>
  <c r="U102" i="2"/>
  <c r="AL98" i="4" l="1"/>
  <c r="AM98" i="4" s="1"/>
  <c r="AO98" i="4" s="1"/>
  <c r="AP98" i="4" s="1"/>
  <c r="AK99" i="4"/>
  <c r="AJ100" i="4"/>
  <c r="AM97" i="4"/>
  <c r="AO97" i="4" s="1"/>
  <c r="W83" i="2"/>
  <c r="AQ98" i="4" l="1"/>
  <c r="AP97" i="4"/>
  <c r="AQ97" i="4"/>
  <c r="AK100" i="4"/>
  <c r="AJ101" i="4"/>
  <c r="AL99" i="4"/>
  <c r="AM99" i="4" s="1"/>
  <c r="AO99" i="4" s="1"/>
  <c r="W84" i="2"/>
  <c r="AP99" i="4" l="1"/>
  <c r="AQ99" i="4"/>
  <c r="AL100" i="4"/>
  <c r="AM100" i="4" s="1"/>
  <c r="AO100" i="4" s="1"/>
  <c r="AK101" i="4"/>
  <c r="AJ102" i="4"/>
  <c r="W88" i="2"/>
  <c r="W92" i="2"/>
  <c r="AP100" i="4" l="1"/>
  <c r="AQ100" i="4"/>
  <c r="AK102" i="4"/>
  <c r="AJ103" i="4"/>
  <c r="AL101" i="4"/>
  <c r="W89" i="2"/>
  <c r="W93" i="2"/>
  <c r="AL102" i="4" l="1"/>
  <c r="AM101" i="4"/>
  <c r="AO101" i="4" s="1"/>
  <c r="AK103" i="4"/>
  <c r="AJ104" i="4"/>
  <c r="W94" i="2"/>
  <c r="AK104" i="4" l="1"/>
  <c r="AJ105" i="4"/>
  <c r="AL103" i="4"/>
  <c r="AP101" i="4"/>
  <c r="AQ101" i="4"/>
  <c r="AM102" i="4"/>
  <c r="AO102" i="4" s="1"/>
  <c r="W102" i="2"/>
  <c r="W108" i="2" s="1"/>
  <c r="W109" i="2" s="1"/>
  <c r="W111" i="2" s="1"/>
  <c r="W113" i="2" l="1"/>
  <c r="W133" i="2" s="1"/>
  <c r="W134" i="2" s="1"/>
  <c r="W135" i="2" s="1"/>
  <c r="W200" i="2"/>
  <c r="AL104" i="4"/>
  <c r="AM104" i="4" s="1"/>
  <c r="AO104" i="4" s="1"/>
  <c r="AQ104" i="4" s="1"/>
  <c r="W201" i="2"/>
  <c r="W206" i="2" s="1"/>
  <c r="W207" i="2" s="1"/>
  <c r="AM103" i="4"/>
  <c r="AO103" i="4" s="1"/>
  <c r="AK105" i="4"/>
  <c r="AJ106" i="4"/>
  <c r="AP102" i="4"/>
  <c r="AQ102" i="4"/>
  <c r="W137" i="2" l="1"/>
  <c r="W138" i="2"/>
  <c r="W139" i="2" s="1"/>
  <c r="W140" i="2" s="1"/>
  <c r="W141" i="2" s="1"/>
  <c r="AP104" i="4"/>
  <c r="AL105" i="4"/>
  <c r="AM105" i="4" s="1"/>
  <c r="AO105" i="4" s="1"/>
  <c r="AP105" i="4" s="1"/>
  <c r="AK106" i="4"/>
  <c r="AJ107" i="4"/>
  <c r="AQ103" i="4"/>
  <c r="AP103" i="4"/>
  <c r="W142" i="2" l="1"/>
  <c r="W143" i="2" s="1"/>
  <c r="W151" i="2" s="1"/>
  <c r="W152" i="2" s="1"/>
  <c r="W153" i="2" s="1"/>
  <c r="W154" i="2" s="1"/>
  <c r="W155" i="2" s="1"/>
  <c r="W156" i="2" s="1"/>
  <c r="W157" i="2" s="1"/>
  <c r="W160" i="2" s="1"/>
  <c r="AQ105" i="4"/>
  <c r="AK107" i="4"/>
  <c r="AJ108" i="4"/>
  <c r="AL106" i="4"/>
  <c r="AM106" i="4" s="1"/>
  <c r="AO106" i="4" s="1"/>
  <c r="W217" i="2"/>
  <c r="W165" i="2" l="1"/>
  <c r="W166" i="2" s="1"/>
  <c r="W167" i="2" s="1"/>
  <c r="AK108" i="4"/>
  <c r="AJ109" i="4"/>
  <c r="W219" i="2"/>
  <c r="AQ106" i="4"/>
  <c r="AP106" i="4"/>
  <c r="AL107" i="4"/>
  <c r="W169" i="2" l="1"/>
  <c r="W170" i="2" s="1"/>
  <c r="W220" i="2"/>
  <c r="AK109" i="4"/>
  <c r="AJ110" i="4"/>
  <c r="AM107" i="4"/>
  <c r="AL108" i="4"/>
  <c r="W171" i="2" l="1"/>
  <c r="W172" i="2" s="1"/>
  <c r="W173" i="2" s="1"/>
  <c r="W174" i="2" s="1"/>
  <c r="W175" i="2" s="1"/>
  <c r="AJ111" i="4"/>
  <c r="AK110" i="4"/>
  <c r="AM108" i="4"/>
  <c r="AO108" i="4" s="1"/>
  <c r="AL109" i="4"/>
  <c r="AO107" i="4"/>
  <c r="W176" i="2" l="1"/>
  <c r="AK111" i="4"/>
  <c r="AJ112" i="4"/>
  <c r="AL110" i="4"/>
  <c r="AM109" i="4"/>
  <c r="AQ107" i="4"/>
  <c r="AP107" i="4"/>
  <c r="AQ108" i="4"/>
  <c r="AP108" i="4"/>
  <c r="W226" i="2"/>
  <c r="W178" i="2" l="1"/>
  <c r="AK112" i="4"/>
  <c r="AJ113" i="4"/>
  <c r="AO109" i="4"/>
  <c r="AM110" i="4"/>
  <c r="AO110" i="4" s="1"/>
  <c r="AL111" i="4"/>
  <c r="W227" i="2"/>
  <c r="W179" i="2" l="1"/>
  <c r="AK113" i="4"/>
  <c r="AJ114" i="4"/>
  <c r="AM111" i="4"/>
  <c r="AL112" i="4"/>
  <c r="AP109" i="4"/>
  <c r="AQ109" i="4"/>
  <c r="AQ110" i="4"/>
  <c r="AP110" i="4"/>
  <c r="W195" i="2" l="1"/>
  <c r="AJ115" i="4"/>
  <c r="AK114" i="4"/>
  <c r="AM112" i="4"/>
  <c r="AL113" i="4"/>
  <c r="AO111" i="4"/>
  <c r="W208" i="2" l="1"/>
  <c r="AK115" i="4"/>
  <c r="AJ116" i="4"/>
  <c r="AO112" i="4"/>
  <c r="AQ111" i="4"/>
  <c r="AP111" i="4"/>
  <c r="AM113" i="4"/>
  <c r="AO113" i="4" s="1"/>
  <c r="AL114" i="4"/>
  <c r="W237" i="2"/>
  <c r="W209" i="2" l="1"/>
  <c r="AK116" i="4"/>
  <c r="AJ117" i="4"/>
  <c r="AQ113" i="4"/>
  <c r="AP113" i="4"/>
  <c r="AM114" i="4"/>
  <c r="AO114" i="4" s="1"/>
  <c r="AL115" i="4"/>
  <c r="AQ112" i="4"/>
  <c r="AP112" i="4"/>
  <c r="W238" i="2"/>
  <c r="W210" i="2" l="1"/>
  <c r="W216" i="2" s="1"/>
  <c r="W218" i="2" s="1"/>
  <c r="W221" i="2" s="1"/>
  <c r="W222" i="2" s="1"/>
  <c r="AK117" i="4"/>
  <c r="AJ118" i="4"/>
  <c r="AM115" i="4"/>
  <c r="AO115" i="4" s="1"/>
  <c r="AL116" i="4"/>
  <c r="AQ114" i="4"/>
  <c r="AP114" i="4"/>
  <c r="W239" i="2"/>
  <c r="W223" i="2" l="1"/>
  <c r="W224" i="2" s="1"/>
  <c r="W225" i="2" s="1"/>
  <c r="AK118" i="4"/>
  <c r="AJ119" i="4"/>
  <c r="AM116" i="4"/>
  <c r="AO116" i="4" s="1"/>
  <c r="AL117" i="4"/>
  <c r="AQ115" i="4"/>
  <c r="AP115" i="4"/>
  <c r="W240" i="2"/>
  <c r="W228" i="2" l="1"/>
  <c r="W229" i="2" s="1"/>
  <c r="W235" i="2" s="1"/>
  <c r="AK119" i="4"/>
  <c r="AJ120" i="4"/>
  <c r="AL118" i="4"/>
  <c r="AM117" i="4"/>
  <c r="AO117" i="4" s="1"/>
  <c r="AP116" i="4"/>
  <c r="AQ116" i="4"/>
  <c r="W241" i="2"/>
  <c r="W242" i="2" l="1"/>
  <c r="W243" i="2" s="1"/>
  <c r="W245" i="2" s="1"/>
  <c r="W246" i="2" s="1"/>
  <c r="W247" i="2" s="1"/>
  <c r="AK120" i="4"/>
  <c r="AJ121" i="4"/>
  <c r="AQ117" i="4"/>
  <c r="AP117" i="4"/>
  <c r="AM118" i="4"/>
  <c r="AO118" i="4" s="1"/>
  <c r="AL119" i="4"/>
  <c r="AK121" i="4" l="1"/>
  <c r="AJ122" i="4"/>
  <c r="AQ118" i="4"/>
  <c r="AP118" i="4"/>
  <c r="AL120" i="4"/>
  <c r="AM119" i="4"/>
  <c r="W248" i="2"/>
  <c r="W253" i="2" s="1"/>
  <c r="AK122" i="4" l="1"/>
  <c r="AJ123" i="4"/>
  <c r="AL121" i="4"/>
  <c r="AM120" i="4"/>
  <c r="AO120" i="4" s="1"/>
  <c r="AO119" i="4"/>
  <c r="W254" i="2"/>
  <c r="W255" i="2" l="1"/>
  <c r="W256" i="2" s="1"/>
  <c r="AK123" i="4"/>
  <c r="AJ124" i="4"/>
  <c r="AP120" i="4"/>
  <c r="AQ120" i="4"/>
  <c r="AL122" i="4"/>
  <c r="AM121" i="4"/>
  <c r="AQ119" i="4"/>
  <c r="AP119" i="4"/>
  <c r="W262" i="2"/>
  <c r="W264" i="2"/>
  <c r="W257" i="2" l="1"/>
  <c r="AK124" i="4"/>
  <c r="AJ125" i="4"/>
  <c r="AO121" i="4"/>
  <c r="AL123" i="4"/>
  <c r="AM122" i="4"/>
  <c r="AO122" i="4" s="1"/>
  <c r="W266" i="2"/>
  <c r="AJ126" i="4" l="1"/>
  <c r="AK125" i="4"/>
  <c r="AL124" i="4"/>
  <c r="AM123" i="4"/>
  <c r="AQ122" i="4"/>
  <c r="AP122" i="4"/>
  <c r="AQ121" i="4"/>
  <c r="AP121" i="4"/>
  <c r="W267" i="2"/>
  <c r="AK126" i="4" l="1"/>
  <c r="AJ127" i="4"/>
  <c r="AO123" i="4"/>
  <c r="AL125" i="4"/>
  <c r="AM124" i="4"/>
  <c r="AO124" i="4" s="1"/>
  <c r="W268" i="2"/>
  <c r="AK127" i="4" l="1"/>
  <c r="AJ128" i="4"/>
  <c r="AQ124" i="4"/>
  <c r="AP124" i="4"/>
  <c r="AP123" i="4"/>
  <c r="AQ123" i="4"/>
  <c r="AL126" i="4"/>
  <c r="AM125" i="4"/>
  <c r="AO125" i="4" s="1"/>
  <c r="W275" i="2"/>
  <c r="AK128" i="4" l="1"/>
  <c r="AJ129" i="4"/>
  <c r="AL127" i="4"/>
  <c r="AM126" i="4"/>
  <c r="AP125" i="4"/>
  <c r="AQ125" i="4"/>
  <c r="W276" i="2"/>
  <c r="AK129" i="4" l="1"/>
  <c r="AJ130" i="4"/>
  <c r="AL128" i="4"/>
  <c r="AM127" i="4"/>
  <c r="AO127" i="4" s="1"/>
  <c r="AO126" i="4"/>
  <c r="W277" i="2"/>
  <c r="AL129" i="4" l="1"/>
  <c r="AM128" i="4"/>
  <c r="AO128" i="4" s="1"/>
  <c r="AK130" i="4"/>
  <c r="AJ131" i="4"/>
  <c r="AM129" i="4"/>
  <c r="AO129" i="4" s="1"/>
  <c r="AQ127" i="4"/>
  <c r="AP127" i="4"/>
  <c r="AQ126" i="4"/>
  <c r="AP126" i="4"/>
  <c r="W279" i="2"/>
  <c r="W285" i="2" s="1"/>
  <c r="AQ129" i="4" l="1"/>
  <c r="AP129" i="4"/>
  <c r="AK131" i="4"/>
  <c r="AJ132" i="4"/>
  <c r="AP128" i="4"/>
  <c r="AQ128" i="4"/>
  <c r="AL130" i="4"/>
  <c r="AL131" i="4" s="1"/>
  <c r="W286" i="2"/>
  <c r="W287" i="2" s="1"/>
  <c r="AM130" i="4" l="1"/>
  <c r="AK132" i="4"/>
  <c r="AJ133" i="4"/>
  <c r="AM131" i="4"/>
  <c r="AO131" i="4" s="1"/>
  <c r="W288" i="2"/>
  <c r="AP131" i="4" l="1"/>
  <c r="AQ131" i="4"/>
  <c r="AK133" i="4"/>
  <c r="AJ134" i="4"/>
  <c r="AO130" i="4"/>
  <c r="AL132" i="4"/>
  <c r="AL133" i="4" s="1"/>
  <c r="W289" i="2"/>
  <c r="W290" i="2" s="1"/>
  <c r="W297" i="2"/>
  <c r="AQ130" i="4" l="1"/>
  <c r="AP130" i="4"/>
  <c r="AM132" i="4"/>
  <c r="AK134" i="4"/>
  <c r="AJ135" i="4"/>
  <c r="AM133" i="4"/>
  <c r="AO133" i="4" s="1"/>
  <c r="W291" i="2"/>
  <c r="W296" i="2" s="1"/>
  <c r="W300" i="2"/>
  <c r="AQ133" i="4" l="1"/>
  <c r="AP133" i="4"/>
  <c r="AK135" i="4"/>
  <c r="AJ136" i="4"/>
  <c r="AO132" i="4"/>
  <c r="AL134" i="4"/>
  <c r="AL135" i="4" s="1"/>
  <c r="W302" i="2"/>
  <c r="AP132" i="4" l="1"/>
  <c r="AQ132" i="4"/>
  <c r="AM134" i="4"/>
  <c r="AK136" i="4"/>
  <c r="AJ137" i="4"/>
  <c r="AM135" i="4"/>
  <c r="AO135" i="4" s="1"/>
  <c r="W307" i="2"/>
  <c r="AQ135" i="4" l="1"/>
  <c r="AP135" i="4"/>
  <c r="AO134" i="4"/>
  <c r="AL136" i="4"/>
  <c r="AK137" i="4"/>
  <c r="AM137" i="4" s="1"/>
  <c r="AO137" i="4" s="1"/>
  <c r="AJ138" i="4"/>
  <c r="AK138" i="4" s="1"/>
  <c r="AM138" i="4" s="1"/>
  <c r="AO138" i="4" s="1"/>
  <c r="W308" i="2"/>
  <c r="AL137" i="4" l="1"/>
  <c r="AL138" i="4" s="1"/>
  <c r="AL139" i="4" s="1"/>
  <c r="AL140" i="4" s="1"/>
  <c r="AL141" i="4" s="1"/>
  <c r="AL142" i="4" s="1"/>
  <c r="AL143" i="4" s="1"/>
  <c r="AL144" i="4" s="1"/>
  <c r="AL145" i="4" s="1"/>
  <c r="AL146" i="4" s="1"/>
  <c r="AL147" i="4" s="1"/>
  <c r="AL148" i="4" s="1"/>
  <c r="AL149" i="4" s="1"/>
  <c r="AL150" i="4" s="1"/>
  <c r="AL151" i="4" s="1"/>
  <c r="AL152" i="4" s="1"/>
  <c r="AL153" i="4" s="1"/>
  <c r="AL154" i="4" s="1"/>
  <c r="AL155" i="4" s="1"/>
  <c r="AL156" i="4" s="1"/>
  <c r="AL157" i="4" s="1"/>
  <c r="AL158" i="4" s="1"/>
  <c r="AL159" i="4" s="1"/>
  <c r="AL160" i="4" s="1"/>
  <c r="AL161" i="4" s="1"/>
  <c r="AL162" i="4" s="1"/>
  <c r="AL163" i="4" s="1"/>
  <c r="AL164" i="4" s="1"/>
  <c r="AL165" i="4" s="1"/>
  <c r="AL166" i="4" s="1"/>
  <c r="AL167" i="4" s="1"/>
  <c r="AL168" i="4" s="1"/>
  <c r="AL169" i="4" s="1"/>
  <c r="AL170" i="4" s="1"/>
  <c r="AL171" i="4" s="1"/>
  <c r="AL172" i="4" s="1"/>
  <c r="AL173" i="4" s="1"/>
  <c r="AL174" i="4" s="1"/>
  <c r="AL175" i="4" s="1"/>
  <c r="AL176" i="4" s="1"/>
  <c r="AL177" i="4" s="1"/>
  <c r="AL178" i="4" s="1"/>
  <c r="AL179" i="4" s="1"/>
  <c r="AL180" i="4" s="1"/>
  <c r="AL181" i="4" s="1"/>
  <c r="AL182" i="4" s="1"/>
  <c r="AL183" i="4" s="1"/>
  <c r="AL184" i="4" s="1"/>
  <c r="AL185" i="4" s="1"/>
  <c r="AL186" i="4" s="1"/>
  <c r="AL187" i="4" s="1"/>
  <c r="AL188" i="4" s="1"/>
  <c r="AL189" i="4" s="1"/>
  <c r="AL190" i="4" s="1"/>
  <c r="AL191" i="4" s="1"/>
  <c r="AL192" i="4" s="1"/>
  <c r="AL193" i="4" s="1"/>
  <c r="AL194" i="4" s="1"/>
  <c r="AL195" i="4" s="1"/>
  <c r="AL196" i="4" s="1"/>
  <c r="AL197" i="4" s="1"/>
  <c r="AL198" i="4" s="1"/>
  <c r="AL199" i="4" s="1"/>
  <c r="AL200" i="4" s="1"/>
  <c r="AL201" i="4" s="1"/>
  <c r="AL202" i="4" s="1"/>
  <c r="AL203" i="4" s="1"/>
  <c r="AQ138" i="4"/>
  <c r="AP138" i="4"/>
  <c r="AM136" i="4"/>
  <c r="AP137" i="4"/>
  <c r="AQ137" i="4"/>
  <c r="AP134" i="4"/>
  <c r="AQ134" i="4"/>
  <c r="W309" i="2"/>
  <c r="AO136" i="4" l="1"/>
  <c r="AM1" i="4"/>
  <c r="W316" i="2"/>
  <c r="AQ136" i="4" l="1"/>
  <c r="AP136" i="4"/>
  <c r="AM2" i="4" s="1"/>
  <c r="AQ1" i="4"/>
  <c r="AR1" i="4" s="1"/>
  <c r="W320" i="2"/>
  <c r="AR64" i="4" l="1"/>
  <c r="AR168" i="4"/>
  <c r="AS168" i="4" s="1"/>
  <c r="AT168" i="4" s="1"/>
  <c r="N176" i="6" s="1"/>
  <c r="AR111" i="4"/>
  <c r="AS111" i="4" s="1"/>
  <c r="AR140" i="4"/>
  <c r="AS140" i="4" s="1"/>
  <c r="AT140" i="4" s="1"/>
  <c r="N148" i="6" s="1"/>
  <c r="AR173" i="4"/>
  <c r="AS173" i="4" s="1"/>
  <c r="AT173" i="4" s="1"/>
  <c r="N181" i="6" s="1"/>
  <c r="AR174" i="4"/>
  <c r="AS174" i="4" s="1"/>
  <c r="AT174" i="4" s="1"/>
  <c r="N182" i="6" s="1"/>
  <c r="AR192" i="4"/>
  <c r="AS192" i="4" s="1"/>
  <c r="AT192" i="4" s="1"/>
  <c r="N200" i="6" s="1"/>
  <c r="AR171" i="4"/>
  <c r="AS171" i="4" s="1"/>
  <c r="AT171" i="4" s="1"/>
  <c r="N179" i="6" s="1"/>
  <c r="AR127" i="4"/>
  <c r="AS127" i="4" s="1"/>
  <c r="AR184" i="4"/>
  <c r="AS184" i="4" s="1"/>
  <c r="AT184" i="4" s="1"/>
  <c r="N192" i="6" s="1"/>
  <c r="AR163" i="4"/>
  <c r="AS163" i="4" s="1"/>
  <c r="AT163" i="4" s="1"/>
  <c r="N171" i="6" s="1"/>
  <c r="AR108" i="4"/>
  <c r="AR191" i="4"/>
  <c r="AS191" i="4" s="1"/>
  <c r="AT191" i="4" s="1"/>
  <c r="N199" i="6" s="1"/>
  <c r="AR112" i="4"/>
  <c r="AS112" i="4" s="1"/>
  <c r="AR47" i="4"/>
  <c r="AR70" i="4"/>
  <c r="AR146" i="4"/>
  <c r="AS146" i="4" s="1"/>
  <c r="AT146" i="4" s="1"/>
  <c r="N154" i="6" s="1"/>
  <c r="AR116" i="4"/>
  <c r="AS116" i="4" s="1"/>
  <c r="AR68" i="4"/>
  <c r="AR7" i="4"/>
  <c r="AR44" i="4"/>
  <c r="AR115" i="4"/>
  <c r="AR19" i="4"/>
  <c r="AR28" i="4"/>
  <c r="AR107" i="4"/>
  <c r="AR40" i="4"/>
  <c r="AR93" i="4"/>
  <c r="AS93" i="4" s="1"/>
  <c r="AR54" i="4"/>
  <c r="AR170" i="4"/>
  <c r="AS170" i="4" s="1"/>
  <c r="AT170" i="4" s="1"/>
  <c r="N178" i="6" s="1"/>
  <c r="AR67" i="4"/>
  <c r="AR31" i="4"/>
  <c r="AR30" i="4"/>
  <c r="AR180" i="4"/>
  <c r="AS180" i="4" s="1"/>
  <c r="AT180" i="4" s="1"/>
  <c r="N188" i="6" s="1"/>
  <c r="AR193" i="4"/>
  <c r="AS193" i="4" s="1"/>
  <c r="AT193" i="4" s="1"/>
  <c r="N201" i="6" s="1"/>
  <c r="AR188" i="4"/>
  <c r="AS188" i="4" s="1"/>
  <c r="AT188" i="4" s="1"/>
  <c r="N196" i="6" s="1"/>
  <c r="AR198" i="4"/>
  <c r="AS198" i="4" s="1"/>
  <c r="AT198" i="4" s="1"/>
  <c r="N206" i="6" s="1"/>
  <c r="AR57" i="4"/>
  <c r="AR183" i="4"/>
  <c r="AS183" i="4" s="1"/>
  <c r="AT183" i="4" s="1"/>
  <c r="N191" i="6" s="1"/>
  <c r="AR186" i="4"/>
  <c r="AS186" i="4" s="1"/>
  <c r="AT186" i="4" s="1"/>
  <c r="N194" i="6" s="1"/>
  <c r="AR83" i="4"/>
  <c r="AR109" i="4"/>
  <c r="AR122" i="4"/>
  <c r="AS122" i="4" s="1"/>
  <c r="AR197" i="4"/>
  <c r="AS197" i="4" s="1"/>
  <c r="AT197" i="4" s="1"/>
  <c r="N205" i="6" s="1"/>
  <c r="AR124" i="4"/>
  <c r="AS124" i="4" s="1"/>
  <c r="AR98" i="4"/>
  <c r="AS98" i="4" s="1"/>
  <c r="AR48" i="4"/>
  <c r="AR202" i="4"/>
  <c r="AS202" i="4" s="1"/>
  <c r="AT202" i="4" s="1"/>
  <c r="N210" i="6" s="1"/>
  <c r="AR161" i="4"/>
  <c r="AS161" i="4" s="1"/>
  <c r="AT161" i="4" s="1"/>
  <c r="N169" i="6" s="1"/>
  <c r="AR144" i="4"/>
  <c r="AS144" i="4" s="1"/>
  <c r="AT144" i="4" s="1"/>
  <c r="N152" i="6" s="1"/>
  <c r="AR157" i="4"/>
  <c r="AS157" i="4" s="1"/>
  <c r="AT157" i="4" s="1"/>
  <c r="N165" i="6" s="1"/>
  <c r="AR147" i="4"/>
  <c r="AS147" i="4" s="1"/>
  <c r="AT147" i="4" s="1"/>
  <c r="N155" i="6" s="1"/>
  <c r="AR45" i="4"/>
  <c r="AR114" i="4"/>
  <c r="AR25" i="4"/>
  <c r="AR126" i="4"/>
  <c r="AS126" i="4" s="1"/>
  <c r="AR166" i="4"/>
  <c r="AS166" i="4" s="1"/>
  <c r="AT166" i="4" s="1"/>
  <c r="N174" i="6" s="1"/>
  <c r="AR177" i="4"/>
  <c r="AS177" i="4" s="1"/>
  <c r="AT177" i="4" s="1"/>
  <c r="N185" i="6" s="1"/>
  <c r="AR169" i="4"/>
  <c r="AS169" i="4" s="1"/>
  <c r="AT169" i="4" s="1"/>
  <c r="N177" i="6" s="1"/>
  <c r="AR14" i="4"/>
  <c r="AR36" i="4"/>
  <c r="AR125" i="4"/>
  <c r="AS125" i="4" s="1"/>
  <c r="AR156" i="4"/>
  <c r="AS156" i="4" s="1"/>
  <c r="AT156" i="4" s="1"/>
  <c r="N164" i="6" s="1"/>
  <c r="AR13" i="4"/>
  <c r="AR82" i="4"/>
  <c r="AR185" i="4"/>
  <c r="AS185" i="4" s="1"/>
  <c r="AT185" i="4" s="1"/>
  <c r="N193" i="6" s="1"/>
  <c r="AR61" i="4"/>
  <c r="AR85" i="4"/>
  <c r="AR50" i="4"/>
  <c r="AR104" i="4"/>
  <c r="AS104" i="4" s="1"/>
  <c r="AR148" i="4"/>
  <c r="AS148" i="4" s="1"/>
  <c r="AT148" i="4" s="1"/>
  <c r="N156" i="6" s="1"/>
  <c r="AR165" i="4"/>
  <c r="AS165" i="4" s="1"/>
  <c r="AT165" i="4" s="1"/>
  <c r="N173" i="6" s="1"/>
  <c r="AR62" i="4"/>
  <c r="AR179" i="4"/>
  <c r="AS179" i="4" s="1"/>
  <c r="AT179" i="4" s="1"/>
  <c r="N187" i="6" s="1"/>
  <c r="AR52" i="4"/>
  <c r="AR194" i="4"/>
  <c r="AS194" i="4" s="1"/>
  <c r="AT194" i="4" s="1"/>
  <c r="N202" i="6" s="1"/>
  <c r="AR105" i="4"/>
  <c r="AS105" i="4" s="1"/>
  <c r="AR66" i="4"/>
  <c r="AR153" i="4"/>
  <c r="AS153" i="4" s="1"/>
  <c r="AT153" i="4" s="1"/>
  <c r="N161" i="6" s="1"/>
  <c r="AR76" i="4"/>
  <c r="AR75" i="4"/>
  <c r="AR94" i="4"/>
  <c r="AS94" i="4" s="1"/>
  <c r="AR113" i="4"/>
  <c r="AR27" i="4"/>
  <c r="AR34" i="4"/>
  <c r="AR123" i="4"/>
  <c r="AS123" i="4" s="1"/>
  <c r="AR33" i="4"/>
  <c r="AR100" i="4"/>
  <c r="AS100" i="4" s="1"/>
  <c r="AR84" i="4"/>
  <c r="AR59" i="4"/>
  <c r="AR154" i="4"/>
  <c r="AS154" i="4" s="1"/>
  <c r="AT154" i="4" s="1"/>
  <c r="N162" i="6" s="1"/>
  <c r="AR78" i="4"/>
  <c r="AR103" i="4"/>
  <c r="AS103" i="4" s="1"/>
  <c r="AR200" i="4"/>
  <c r="AS200" i="4" s="1"/>
  <c r="AT200" i="4" s="1"/>
  <c r="N208" i="6" s="1"/>
  <c r="AR176" i="4"/>
  <c r="AS176" i="4" s="1"/>
  <c r="AT176" i="4" s="1"/>
  <c r="N184" i="6" s="1"/>
  <c r="AR9" i="4"/>
  <c r="AR6" i="4"/>
  <c r="AR15" i="4"/>
  <c r="AR190" i="4"/>
  <c r="AS190" i="4" s="1"/>
  <c r="AT190" i="4" s="1"/>
  <c r="N198" i="6" s="1"/>
  <c r="AR151" i="4"/>
  <c r="AS151" i="4" s="1"/>
  <c r="AT151" i="4" s="1"/>
  <c r="N159" i="6" s="1"/>
  <c r="AR141" i="4"/>
  <c r="AS141" i="4" s="1"/>
  <c r="AT141" i="4" s="1"/>
  <c r="N149" i="6" s="1"/>
  <c r="AR72" i="4"/>
  <c r="AR92" i="4"/>
  <c r="AS92" i="4" s="1"/>
  <c r="AR199" i="4"/>
  <c r="AS199" i="4" s="1"/>
  <c r="AT199" i="4" s="1"/>
  <c r="N207" i="6" s="1"/>
  <c r="AR167" i="4"/>
  <c r="AS167" i="4" s="1"/>
  <c r="AT167" i="4" s="1"/>
  <c r="N175" i="6" s="1"/>
  <c r="AR73" i="4"/>
  <c r="AR158" i="4"/>
  <c r="AS158" i="4" s="1"/>
  <c r="AT158" i="4" s="1"/>
  <c r="N166" i="6" s="1"/>
  <c r="AR63" i="4"/>
  <c r="AR65" i="4"/>
  <c r="AR41" i="4"/>
  <c r="AR21" i="4"/>
  <c r="AR39" i="4"/>
  <c r="AR81" i="4"/>
  <c r="AR88" i="4"/>
  <c r="AR181" i="4"/>
  <c r="AS181" i="4" s="1"/>
  <c r="AT181" i="4" s="1"/>
  <c r="N189" i="6" s="1"/>
  <c r="AR74" i="4"/>
  <c r="AR110" i="4"/>
  <c r="AR164" i="4"/>
  <c r="AS164" i="4" s="1"/>
  <c r="AT164" i="4" s="1"/>
  <c r="N172" i="6" s="1"/>
  <c r="AR118" i="4"/>
  <c r="AS118" i="4" s="1"/>
  <c r="AR195" i="4"/>
  <c r="AS195" i="4" s="1"/>
  <c r="AT195" i="4" s="1"/>
  <c r="N203" i="6" s="1"/>
  <c r="AR97" i="4"/>
  <c r="AS97" i="4" s="1"/>
  <c r="AR201" i="4"/>
  <c r="AS201" i="4" s="1"/>
  <c r="AT201" i="4" s="1"/>
  <c r="N209" i="6" s="1"/>
  <c r="AR143" i="4"/>
  <c r="AS143" i="4" s="1"/>
  <c r="AT143" i="4" s="1"/>
  <c r="N151" i="6" s="1"/>
  <c r="AR95" i="4"/>
  <c r="AS95" i="4" s="1"/>
  <c r="AR106" i="4"/>
  <c r="AS106" i="4" s="1"/>
  <c r="AR155" i="4"/>
  <c r="AS155" i="4" s="1"/>
  <c r="AT155" i="4" s="1"/>
  <c r="N163" i="6" s="1"/>
  <c r="AR152" i="4"/>
  <c r="AS152" i="4" s="1"/>
  <c r="AT152" i="4" s="1"/>
  <c r="N160" i="6" s="1"/>
  <c r="AR96" i="4"/>
  <c r="AS96" i="4" s="1"/>
  <c r="AR145" i="4"/>
  <c r="AS145" i="4" s="1"/>
  <c r="AT145" i="4" s="1"/>
  <c r="N153" i="6" s="1"/>
  <c r="AR139" i="4"/>
  <c r="AS139" i="4" s="1"/>
  <c r="AT139" i="4" s="1"/>
  <c r="N147" i="6" s="1"/>
  <c r="AR89" i="4"/>
  <c r="AR203" i="4"/>
  <c r="AS203" i="4" s="1"/>
  <c r="AT203" i="4" s="1"/>
  <c r="N211" i="6" s="1"/>
  <c r="AR11" i="4"/>
  <c r="AR172" i="4"/>
  <c r="AS172" i="4" s="1"/>
  <c r="AT172" i="4" s="1"/>
  <c r="N180" i="6" s="1"/>
  <c r="AR69" i="4"/>
  <c r="AR159" i="4"/>
  <c r="AS159" i="4" s="1"/>
  <c r="AT159" i="4" s="1"/>
  <c r="N167" i="6" s="1"/>
  <c r="AR196" i="4"/>
  <c r="AS196" i="4" s="1"/>
  <c r="AT196" i="4" s="1"/>
  <c r="N204" i="6" s="1"/>
  <c r="AR187" i="4"/>
  <c r="AS187" i="4" s="1"/>
  <c r="AT187" i="4" s="1"/>
  <c r="N195" i="6" s="1"/>
  <c r="AR182" i="4"/>
  <c r="AS182" i="4" s="1"/>
  <c r="AT182" i="4" s="1"/>
  <c r="N190" i="6" s="1"/>
  <c r="AR29" i="4"/>
  <c r="AR35" i="4"/>
  <c r="AR42" i="4"/>
  <c r="AR22" i="4"/>
  <c r="AR17" i="4"/>
  <c r="AR178" i="4"/>
  <c r="AS178" i="4" s="1"/>
  <c r="AT178" i="4" s="1"/>
  <c r="N186" i="6" s="1"/>
  <c r="AR77" i="4"/>
  <c r="AR49" i="4"/>
  <c r="AR26" i="4"/>
  <c r="AR102" i="4"/>
  <c r="AS102" i="4" s="1"/>
  <c r="AR79" i="4"/>
  <c r="AR189" i="4"/>
  <c r="AS189" i="4" s="1"/>
  <c r="AT189" i="4" s="1"/>
  <c r="N197" i="6" s="1"/>
  <c r="AR38" i="4"/>
  <c r="AR51" i="4"/>
  <c r="AR160" i="4"/>
  <c r="AS160" i="4" s="1"/>
  <c r="AT160" i="4" s="1"/>
  <c r="N168" i="6" s="1"/>
  <c r="AR46" i="4"/>
  <c r="AR86" i="4"/>
  <c r="AR129" i="4"/>
  <c r="AS129" i="4" s="1"/>
  <c r="AR91" i="4"/>
  <c r="AS91" i="4" s="1"/>
  <c r="AR58" i="4"/>
  <c r="AR71" i="4"/>
  <c r="AR5" i="4"/>
  <c r="AR120" i="4"/>
  <c r="AS120" i="4" s="1"/>
  <c r="AR53" i="4"/>
  <c r="AR121" i="4"/>
  <c r="AS121" i="4" s="1"/>
  <c r="AR99" i="4"/>
  <c r="AS99" i="4" s="1"/>
  <c r="AR87" i="4"/>
  <c r="AR119" i="4"/>
  <c r="AS119" i="4" s="1"/>
  <c r="AR142" i="4"/>
  <c r="AS142" i="4" s="1"/>
  <c r="AT142" i="4" s="1"/>
  <c r="N150" i="6" s="1"/>
  <c r="AR150" i="4"/>
  <c r="AS150" i="4" s="1"/>
  <c r="AT150" i="4" s="1"/>
  <c r="N158" i="6" s="1"/>
  <c r="AR60" i="4"/>
  <c r="AR10" i="4"/>
  <c r="AR12" i="4"/>
  <c r="AR149" i="4"/>
  <c r="AS149" i="4" s="1"/>
  <c r="AT149" i="4" s="1"/>
  <c r="N157" i="6" s="1"/>
  <c r="AR175" i="4"/>
  <c r="AS175" i="4" s="1"/>
  <c r="AT175" i="4" s="1"/>
  <c r="N183" i="6" s="1"/>
  <c r="AR56" i="4"/>
  <c r="AR8" i="4"/>
  <c r="AR55" i="4"/>
  <c r="AR16" i="4"/>
  <c r="AR101" i="4"/>
  <c r="AS101" i="4" s="1"/>
  <c r="AR117" i="4"/>
  <c r="AS117" i="4" s="1"/>
  <c r="AR90" i="4"/>
  <c r="AR162" i="4"/>
  <c r="AS162" i="4" s="1"/>
  <c r="AT162" i="4" s="1"/>
  <c r="N170" i="6" s="1"/>
  <c r="AR80" i="4"/>
  <c r="AR20" i="4"/>
  <c r="AR32" i="4"/>
  <c r="AR18" i="4"/>
  <c r="AR43" i="4"/>
  <c r="AR37" i="4"/>
  <c r="AR128" i="4"/>
  <c r="AS128" i="4" s="1"/>
  <c r="AR131" i="4"/>
  <c r="AS131" i="4" s="1"/>
  <c r="AR130" i="4"/>
  <c r="AS130" i="4" s="1"/>
  <c r="AR133" i="4"/>
  <c r="AS133" i="4" s="1"/>
  <c r="AR132" i="4"/>
  <c r="AS132" i="4" s="1"/>
  <c r="AR135" i="4"/>
  <c r="AS135" i="4" s="1"/>
  <c r="AR134" i="4"/>
  <c r="AS134" i="4" s="1"/>
  <c r="AR136" i="4"/>
  <c r="AS136" i="4" s="1"/>
  <c r="AR137" i="4"/>
  <c r="AR138" i="4"/>
  <c r="AR4" i="4"/>
  <c r="AR24" i="4"/>
  <c r="AR23" i="4"/>
  <c r="W322" i="2"/>
  <c r="M36" i="3" s="1"/>
  <c r="J15" i="3" l="1"/>
  <c r="N34" i="3"/>
  <c r="C34" i="3" s="1"/>
  <c r="V179" i="6"/>
  <c r="P179" i="6"/>
  <c r="Q179" i="6" s="1"/>
  <c r="P150" i="6"/>
  <c r="Q150" i="6" s="1"/>
  <c r="V150" i="6"/>
  <c r="P167" i="6"/>
  <c r="Q167" i="6" s="1"/>
  <c r="V167" i="6"/>
  <c r="P203" i="6"/>
  <c r="Q203" i="6" s="1"/>
  <c r="V203" i="6"/>
  <c r="P207" i="6"/>
  <c r="Q207" i="6" s="1"/>
  <c r="V207" i="6"/>
  <c r="V173" i="6"/>
  <c r="P173" i="6"/>
  <c r="Q173" i="6" s="1"/>
  <c r="V210" i="6"/>
  <c r="P210" i="6"/>
  <c r="Q210" i="6" s="1"/>
  <c r="V194" i="6"/>
  <c r="P194" i="6"/>
  <c r="Q194" i="6" s="1"/>
  <c r="P200" i="6"/>
  <c r="Q200" i="6" s="1"/>
  <c r="V200" i="6"/>
  <c r="P175" i="6"/>
  <c r="Q175" i="6" s="1"/>
  <c r="V175" i="6"/>
  <c r="AY56" i="4"/>
  <c r="AY51" i="4"/>
  <c r="AY52" i="4"/>
  <c r="AY86" i="4"/>
  <c r="AY96" i="4"/>
  <c r="AY33" i="4"/>
  <c r="AY40" i="4"/>
  <c r="AY12" i="4"/>
  <c r="AY29" i="4"/>
  <c r="AY42" i="4"/>
  <c r="AY73" i="4"/>
  <c r="AY95" i="4"/>
  <c r="AY84" i="4"/>
  <c r="AY62" i="4"/>
  <c r="AY94" i="4"/>
  <c r="AY14" i="4"/>
  <c r="AY76" i="4"/>
  <c r="AY32" i="4"/>
  <c r="AY8" i="4"/>
  <c r="AY25" i="4"/>
  <c r="AY46" i="4"/>
  <c r="AY43" i="4"/>
  <c r="AY89" i="4"/>
  <c r="AY78" i="4"/>
  <c r="AY26" i="4"/>
  <c r="AY6" i="4"/>
  <c r="AY69" i="4"/>
  <c r="AY13" i="4"/>
  <c r="AY82" i="4"/>
  <c r="AY92" i="4"/>
  <c r="AY98" i="4"/>
  <c r="AY61" i="4"/>
  <c r="AY63" i="4"/>
  <c r="AY45" i="4"/>
  <c r="AY30" i="4"/>
  <c r="AY47" i="4"/>
  <c r="AY90" i="4"/>
  <c r="AY28" i="4"/>
  <c r="AY58" i="4"/>
  <c r="AY37" i="4"/>
  <c r="AY49" i="4"/>
  <c r="AY11" i="4"/>
  <c r="AY16" i="4"/>
  <c r="AY35" i="4"/>
  <c r="AY38" i="4"/>
  <c r="AY44" i="4"/>
  <c r="AY39" i="4"/>
  <c r="AY71" i="4"/>
  <c r="AY65" i="4"/>
  <c r="AY55" i="4"/>
  <c r="AY7" i="4"/>
  <c r="AY22" i="4"/>
  <c r="AY34" i="4"/>
  <c r="AY99" i="4"/>
  <c r="AY9" i="4"/>
  <c r="AY74" i="4"/>
  <c r="AY88" i="4"/>
  <c r="AY50" i="4"/>
  <c r="AY53" i="4"/>
  <c r="AY83" i="4"/>
  <c r="AY72" i="4"/>
  <c r="AY5" i="4"/>
  <c r="AY101" i="4"/>
  <c r="AY85" i="4"/>
  <c r="AY66" i="4"/>
  <c r="AY57" i="4"/>
  <c r="AY102" i="4"/>
  <c r="AY15" i="4"/>
  <c r="AY36" i="4"/>
  <c r="AY54" i="4"/>
  <c r="AY87" i="4"/>
  <c r="AY4" i="4"/>
  <c r="AY70" i="4"/>
  <c r="AY23" i="4"/>
  <c r="AY10" i="4"/>
  <c r="AY24" i="4"/>
  <c r="AY31" i="4"/>
  <c r="AY81" i="4"/>
  <c r="AY75" i="4"/>
  <c r="AY91" i="4"/>
  <c r="AY79" i="4"/>
  <c r="AY48" i="4"/>
  <c r="AY60" i="4"/>
  <c r="AY67" i="4"/>
  <c r="AY93" i="4"/>
  <c r="AY41" i="4"/>
  <c r="AY100" i="4"/>
  <c r="AY64" i="4"/>
  <c r="AY77" i="4"/>
  <c r="AY59" i="4"/>
  <c r="AY27" i="4"/>
  <c r="AY97" i="4"/>
  <c r="AY68" i="4"/>
  <c r="AY103" i="4"/>
  <c r="AY80" i="4"/>
  <c r="V197" i="6"/>
  <c r="P197" i="6"/>
  <c r="Q197" i="6" s="1"/>
  <c r="V160" i="6"/>
  <c r="P160" i="6"/>
  <c r="Q160" i="6" s="1"/>
  <c r="P184" i="6"/>
  <c r="Q184" i="6" s="1"/>
  <c r="V184" i="6"/>
  <c r="V161" i="6"/>
  <c r="P161" i="6"/>
  <c r="Q161" i="6" s="1"/>
  <c r="V156" i="6"/>
  <c r="P156" i="6"/>
  <c r="Q156" i="6" s="1"/>
  <c r="P164" i="6"/>
  <c r="Q164" i="6" s="1"/>
  <c r="V164" i="6"/>
  <c r="V191" i="6"/>
  <c r="P191" i="6"/>
  <c r="Q191" i="6" s="1"/>
  <c r="V182" i="6"/>
  <c r="P182" i="6"/>
  <c r="Q182" i="6" s="1"/>
  <c r="P204" i="6"/>
  <c r="Q204" i="6" s="1"/>
  <c r="V204" i="6"/>
  <c r="P183" i="6"/>
  <c r="Q183" i="6" s="1"/>
  <c r="V183" i="6"/>
  <c r="V180" i="6"/>
  <c r="P180" i="6"/>
  <c r="Q180" i="6" s="1"/>
  <c r="V163" i="6"/>
  <c r="P163" i="6"/>
  <c r="Q163" i="6" s="1"/>
  <c r="P172" i="6"/>
  <c r="Q172" i="6" s="1"/>
  <c r="V172" i="6"/>
  <c r="V208" i="6"/>
  <c r="W208" i="6" s="1"/>
  <c r="X208" i="6" s="1"/>
  <c r="P208" i="6"/>
  <c r="Q208" i="6" s="1"/>
  <c r="P178" i="6"/>
  <c r="Q178" i="6" s="1"/>
  <c r="V178" i="6"/>
  <c r="P199" i="6"/>
  <c r="Q199" i="6" s="1"/>
  <c r="V199" i="6"/>
  <c r="P181" i="6"/>
  <c r="Q181" i="6" s="1"/>
  <c r="V181" i="6"/>
  <c r="V158" i="6"/>
  <c r="P158" i="6"/>
  <c r="Q158" i="6" s="1"/>
  <c r="P174" i="6"/>
  <c r="Q174" i="6" s="1"/>
  <c r="V174" i="6"/>
  <c r="V170" i="6"/>
  <c r="P170" i="6"/>
  <c r="Q170" i="6" s="1"/>
  <c r="P157" i="6"/>
  <c r="Q157" i="6" s="1"/>
  <c r="V157" i="6"/>
  <c r="P149" i="6"/>
  <c r="Q149" i="6" s="1"/>
  <c r="V149" i="6"/>
  <c r="P206" i="6"/>
  <c r="Q206" i="6" s="1"/>
  <c r="V206" i="6"/>
  <c r="P148" i="6"/>
  <c r="Q148" i="6" s="1"/>
  <c r="V148" i="6"/>
  <c r="P186" i="6"/>
  <c r="Q186" i="6" s="1"/>
  <c r="V186" i="6"/>
  <c r="V211" i="6"/>
  <c r="P211" i="6"/>
  <c r="Q211" i="6" s="1"/>
  <c r="V159" i="6"/>
  <c r="P159" i="6"/>
  <c r="Q159" i="6" s="1"/>
  <c r="P202" i="6"/>
  <c r="Q202" i="6" s="1"/>
  <c r="V202" i="6"/>
  <c r="V155" i="6"/>
  <c r="P155" i="6"/>
  <c r="Q155" i="6" s="1"/>
  <c r="P205" i="6"/>
  <c r="Q205" i="6" s="1"/>
  <c r="V205" i="6"/>
  <c r="P196" i="6"/>
  <c r="Q196" i="6" s="1"/>
  <c r="V196" i="6"/>
  <c r="P171" i="6"/>
  <c r="Q171" i="6" s="1"/>
  <c r="V171" i="6"/>
  <c r="V169" i="6"/>
  <c r="P169" i="6"/>
  <c r="Q169" i="6" s="1"/>
  <c r="P190" i="6"/>
  <c r="Q190" i="6" s="1"/>
  <c r="V190" i="6"/>
  <c r="P151" i="6"/>
  <c r="Q151" i="6" s="1"/>
  <c r="V151" i="6"/>
  <c r="V189" i="6"/>
  <c r="P189" i="6"/>
  <c r="Q189" i="6" s="1"/>
  <c r="V166" i="6"/>
  <c r="P166" i="6"/>
  <c r="Q166" i="6" s="1"/>
  <c r="V198" i="6"/>
  <c r="P198" i="6"/>
  <c r="Q198" i="6" s="1"/>
  <c r="P162" i="6"/>
  <c r="Q162" i="6" s="1"/>
  <c r="V162" i="6"/>
  <c r="V177" i="6"/>
  <c r="P177" i="6"/>
  <c r="Q177" i="6" s="1"/>
  <c r="P165" i="6"/>
  <c r="Q165" i="6" s="1"/>
  <c r="V165" i="6"/>
  <c r="V201" i="6"/>
  <c r="W201" i="6" s="1"/>
  <c r="X201" i="6" s="1"/>
  <c r="P201" i="6"/>
  <c r="Q201" i="6" s="1"/>
  <c r="P192" i="6"/>
  <c r="Q192" i="6" s="1"/>
  <c r="V192" i="6"/>
  <c r="P176" i="6"/>
  <c r="Q176" i="6" s="1"/>
  <c r="V176" i="6"/>
  <c r="P153" i="6"/>
  <c r="Q153" i="6" s="1"/>
  <c r="V153" i="6"/>
  <c r="V168" i="6"/>
  <c r="P168" i="6"/>
  <c r="Q168" i="6" s="1"/>
  <c r="V195" i="6"/>
  <c r="P195" i="6"/>
  <c r="Q195" i="6" s="1"/>
  <c r="P147" i="6"/>
  <c r="Q147" i="6" s="1"/>
  <c r="V147" i="6"/>
  <c r="P209" i="6"/>
  <c r="Q209" i="6" s="1"/>
  <c r="V209" i="6"/>
  <c r="P187" i="6"/>
  <c r="Q187" i="6" s="1"/>
  <c r="V187" i="6"/>
  <c r="P193" i="6"/>
  <c r="Q193" i="6" s="1"/>
  <c r="V193" i="6"/>
  <c r="V185" i="6"/>
  <c r="P185" i="6"/>
  <c r="Q185" i="6" s="1"/>
  <c r="P152" i="6"/>
  <c r="Q152" i="6" s="1"/>
  <c r="V152" i="6"/>
  <c r="V188" i="6"/>
  <c r="P188" i="6"/>
  <c r="Q188" i="6" s="1"/>
  <c r="V154" i="6"/>
  <c r="P154" i="6"/>
  <c r="Q154" i="6" s="1"/>
  <c r="L29" i="3"/>
  <c r="J28" i="3"/>
  <c r="N35" i="3"/>
  <c r="C35" i="3" s="1"/>
  <c r="J34" i="3"/>
  <c r="L39" i="3"/>
  <c r="K12" i="3"/>
  <c r="L5" i="3"/>
  <c r="A5" i="3" s="1"/>
  <c r="J32" i="3"/>
  <c r="M14" i="3"/>
  <c r="L21" i="3"/>
  <c r="M15" i="3"/>
  <c r="L15" i="3"/>
  <c r="K28" i="3"/>
  <c r="K33" i="3"/>
  <c r="M27" i="3"/>
  <c r="N17" i="3"/>
  <c r="C17" i="3" s="1"/>
  <c r="J20" i="3"/>
  <c r="L19" i="3"/>
  <c r="N16" i="3"/>
  <c r="C16" i="3" s="1"/>
  <c r="M32" i="3"/>
  <c r="J21" i="3"/>
  <c r="N32" i="3"/>
  <c r="C32" i="3" s="1"/>
  <c r="N36" i="3"/>
  <c r="C36" i="3" s="1"/>
  <c r="N21" i="3"/>
  <c r="C21" i="3" s="1"/>
  <c r="K24" i="3"/>
  <c r="K26" i="3"/>
  <c r="N25" i="3"/>
  <c r="C25" i="3" s="1"/>
  <c r="J25" i="3"/>
  <c r="M25" i="3"/>
  <c r="L25" i="3"/>
  <c r="J26" i="3"/>
  <c r="N26" i="3"/>
  <c r="C26" i="3" s="1"/>
  <c r="N28" i="3"/>
  <c r="C28" i="3" s="1"/>
  <c r="L34" i="3"/>
  <c r="M33" i="3"/>
  <c r="M34" i="3"/>
  <c r="N33" i="3"/>
  <c r="C33" i="3" s="1"/>
  <c r="K27" i="3"/>
  <c r="K34" i="3"/>
  <c r="K32" i="3"/>
  <c r="K30" i="3"/>
  <c r="M31" i="3"/>
  <c r="N31" i="3"/>
  <c r="C31" i="3" s="1"/>
  <c r="L32" i="3"/>
  <c r="J14" i="3"/>
  <c r="M5" i="3"/>
  <c r="E5" i="3" s="1"/>
  <c r="K6" i="3"/>
  <c r="J5" i="3"/>
  <c r="B5" i="3" s="1"/>
  <c r="N5" i="3"/>
  <c r="C5" i="3" s="1"/>
  <c r="N6" i="3"/>
  <c r="C6" i="3" s="1"/>
  <c r="K7" i="3"/>
  <c r="L7" i="3"/>
  <c r="M6" i="3"/>
  <c r="L6" i="3"/>
  <c r="K8" i="3"/>
  <c r="J6" i="3"/>
  <c r="J7" i="3"/>
  <c r="K5" i="3"/>
  <c r="D5" i="3" s="1"/>
  <c r="N7" i="3"/>
  <c r="C7" i="3" s="1"/>
  <c r="M8" i="3"/>
  <c r="K9" i="3"/>
  <c r="J9" i="3"/>
  <c r="M7" i="3"/>
  <c r="L9" i="3"/>
  <c r="J8" i="3"/>
  <c r="L8" i="3"/>
  <c r="N9" i="3"/>
  <c r="C9" i="3" s="1"/>
  <c r="N8" i="3"/>
  <c r="C8" i="3" s="1"/>
  <c r="M9" i="3"/>
  <c r="J11" i="3"/>
  <c r="N10" i="3"/>
  <c r="C10" i="3" s="1"/>
  <c r="K11" i="3"/>
  <c r="L10" i="3"/>
  <c r="K10" i="3"/>
  <c r="M11" i="3"/>
  <c r="J10" i="3"/>
  <c r="M10" i="3"/>
  <c r="N13" i="3"/>
  <c r="C13" i="3" s="1"/>
  <c r="N11" i="3"/>
  <c r="C11" i="3" s="1"/>
  <c r="N12" i="3"/>
  <c r="C12" i="3" s="1"/>
  <c r="L11" i="3"/>
  <c r="L13" i="3"/>
  <c r="J12" i="3"/>
  <c r="K13" i="3"/>
  <c r="L12" i="3"/>
  <c r="M12" i="3"/>
  <c r="K14" i="3"/>
  <c r="N14" i="3"/>
  <c r="C14" i="3" s="1"/>
  <c r="J13" i="3"/>
  <c r="M13" i="3"/>
  <c r="J17" i="3"/>
  <c r="N15" i="3"/>
  <c r="C15" i="3" s="1"/>
  <c r="L14" i="3"/>
  <c r="K15" i="3"/>
  <c r="L16" i="3"/>
  <c r="L17" i="3"/>
  <c r="M16" i="3"/>
  <c r="J16" i="3"/>
  <c r="K16" i="3"/>
  <c r="K17" i="3"/>
  <c r="M17" i="3"/>
  <c r="J19" i="3"/>
  <c r="M18" i="3"/>
  <c r="M19" i="3"/>
  <c r="N19" i="3"/>
  <c r="C19" i="3" s="1"/>
  <c r="K18" i="3"/>
  <c r="J18" i="3"/>
  <c r="N18" i="3"/>
  <c r="C18" i="3" s="1"/>
  <c r="K19" i="3"/>
  <c r="L18" i="3"/>
  <c r="N20" i="3"/>
  <c r="C20" i="3" s="1"/>
  <c r="K20" i="3"/>
  <c r="K21" i="3"/>
  <c r="L20" i="3"/>
  <c r="M21" i="3"/>
  <c r="M20" i="3"/>
  <c r="N23" i="3"/>
  <c r="C23" i="3" s="1"/>
  <c r="L22" i="3"/>
  <c r="K22" i="3"/>
  <c r="J22" i="3"/>
  <c r="L23" i="3"/>
  <c r="M22" i="3"/>
  <c r="N22" i="3"/>
  <c r="C22" i="3" s="1"/>
  <c r="K23" i="3"/>
  <c r="M23" i="3"/>
  <c r="J23" i="3"/>
  <c r="M24" i="3"/>
  <c r="L24" i="3"/>
  <c r="J24" i="3"/>
  <c r="N24" i="3"/>
  <c r="C24" i="3" s="1"/>
  <c r="K25" i="3"/>
  <c r="J29" i="3"/>
  <c r="L26" i="3"/>
  <c r="L27" i="3"/>
  <c r="M26" i="3"/>
  <c r="N27" i="3"/>
  <c r="C27" i="3" s="1"/>
  <c r="K29" i="3"/>
  <c r="J27" i="3"/>
  <c r="L28" i="3"/>
  <c r="M29" i="3"/>
  <c r="M28" i="3"/>
  <c r="J31" i="3"/>
  <c r="M30" i="3"/>
  <c r="L30" i="3"/>
  <c r="N29" i="3"/>
  <c r="C29" i="3" s="1"/>
  <c r="N30" i="3"/>
  <c r="C30" i="3" s="1"/>
  <c r="K31" i="3"/>
  <c r="J33" i="3"/>
  <c r="J30" i="3"/>
  <c r="L31" i="3"/>
  <c r="L33" i="3"/>
  <c r="M35" i="3"/>
  <c r="L36" i="3"/>
  <c r="K79" i="3"/>
  <c r="J148" i="3"/>
  <c r="L51" i="3"/>
  <c r="K125" i="3"/>
  <c r="N92" i="3"/>
  <c r="C92" i="3" s="1"/>
  <c r="J138" i="3"/>
  <c r="L62" i="3"/>
  <c r="L43" i="3"/>
  <c r="N108" i="3"/>
  <c r="C108" i="3" s="1"/>
  <c r="K115" i="3"/>
  <c r="J145" i="3"/>
  <c r="M101" i="3"/>
  <c r="K43" i="3"/>
  <c r="J144" i="3"/>
  <c r="J100" i="3"/>
  <c r="M96" i="3"/>
  <c r="K77" i="3"/>
  <c r="M43" i="3"/>
  <c r="K130" i="3"/>
  <c r="J74" i="3"/>
  <c r="K135" i="3"/>
  <c r="N85" i="3"/>
  <c r="C85" i="3" s="1"/>
  <c r="J46" i="3"/>
  <c r="L152" i="3"/>
  <c r="L99" i="3"/>
  <c r="J116" i="3"/>
  <c r="K60" i="3"/>
  <c r="M126" i="3"/>
  <c r="M106" i="3"/>
  <c r="K107" i="3"/>
  <c r="J156" i="3"/>
  <c r="M49" i="3"/>
  <c r="J93" i="3"/>
  <c r="L109" i="3"/>
  <c r="M162" i="3"/>
  <c r="M134" i="3"/>
  <c r="L59" i="3"/>
  <c r="M68" i="3"/>
  <c r="N150" i="3"/>
  <c r="C150" i="3" s="1"/>
  <c r="M90" i="3"/>
  <c r="K67" i="3"/>
  <c r="J71" i="3"/>
  <c r="M47" i="3"/>
  <c r="K109" i="3"/>
  <c r="L67" i="3"/>
  <c r="N149" i="3"/>
  <c r="C149" i="3" s="1"/>
  <c r="N60" i="3"/>
  <c r="C60" i="3" s="1"/>
  <c r="J94" i="3"/>
  <c r="N114" i="3"/>
  <c r="C114" i="3" s="1"/>
  <c r="J126" i="3"/>
  <c r="N164" i="3"/>
  <c r="C164" i="3" s="1"/>
  <c r="K73" i="3"/>
  <c r="M46" i="3"/>
  <c r="N106" i="3"/>
  <c r="C106" i="3" s="1"/>
  <c r="K97" i="3"/>
  <c r="M161" i="3"/>
  <c r="K116" i="3"/>
  <c r="N147" i="3"/>
  <c r="C147" i="3" s="1"/>
  <c r="K68" i="3"/>
  <c r="M141" i="3"/>
  <c r="K92" i="3"/>
  <c r="K94" i="3"/>
  <c r="N48" i="3"/>
  <c r="C48" i="3" s="1"/>
  <c r="J88" i="3"/>
  <c r="J85" i="3"/>
  <c r="M124" i="3"/>
  <c r="K121" i="3"/>
  <c r="J56" i="3"/>
  <c r="N151" i="3"/>
  <c r="C151" i="3" s="1"/>
  <c r="J72" i="3"/>
  <c r="N86" i="3"/>
  <c r="C86" i="3" s="1"/>
  <c r="L57" i="3"/>
  <c r="L125" i="3"/>
  <c r="N146" i="3"/>
  <c r="C146" i="3" s="1"/>
  <c r="K155" i="3"/>
  <c r="N137" i="3"/>
  <c r="C137" i="3" s="1"/>
  <c r="J54" i="3"/>
  <c r="N117" i="3"/>
  <c r="C117" i="3" s="1"/>
  <c r="J113" i="3"/>
  <c r="M77" i="3"/>
  <c r="K37" i="3"/>
  <c r="L35" i="3"/>
  <c r="K117" i="3"/>
  <c r="M108" i="3"/>
  <c r="J58" i="3"/>
  <c r="K146" i="3"/>
  <c r="N97" i="3"/>
  <c r="C97" i="3" s="1"/>
  <c r="K138" i="3"/>
  <c r="J68" i="3"/>
  <c r="L52" i="3"/>
  <c r="K128" i="3"/>
  <c r="L75" i="3"/>
  <c r="J131" i="3"/>
  <c r="N118" i="3"/>
  <c r="C118" i="3" s="1"/>
  <c r="K152" i="3"/>
  <c r="N102" i="3"/>
  <c r="C102" i="3" s="1"/>
  <c r="L160" i="3"/>
  <c r="M163" i="3"/>
  <c r="J146" i="3"/>
  <c r="N50" i="3"/>
  <c r="C50" i="3" s="1"/>
  <c r="J153" i="3"/>
  <c r="L129" i="3"/>
  <c r="M73" i="3"/>
  <c r="J75" i="3"/>
  <c r="K53" i="3"/>
  <c r="J105" i="3"/>
  <c r="L141" i="3"/>
  <c r="M88" i="3"/>
  <c r="K66" i="3"/>
  <c r="M44" i="3"/>
  <c r="J64" i="3"/>
  <c r="L128" i="3"/>
  <c r="N131" i="3"/>
  <c r="C131" i="3" s="1"/>
  <c r="K98" i="3"/>
  <c r="N47" i="3"/>
  <c r="C47" i="3" s="1"/>
  <c r="L108" i="3"/>
  <c r="J109" i="3"/>
  <c r="M78" i="3"/>
  <c r="N107" i="3"/>
  <c r="C107" i="3" s="1"/>
  <c r="N41" i="3"/>
  <c r="C41" i="3" s="1"/>
  <c r="K91" i="3"/>
  <c r="N110" i="3"/>
  <c r="C110" i="3" s="1"/>
  <c r="K111" i="3"/>
  <c r="N100" i="3"/>
  <c r="C100" i="3" s="1"/>
  <c r="K54" i="3"/>
  <c r="N112" i="3"/>
  <c r="C112" i="3" s="1"/>
  <c r="L153" i="3"/>
  <c r="M129" i="3"/>
  <c r="M153" i="3"/>
  <c r="J47" i="3"/>
  <c r="L89" i="3"/>
  <c r="J76" i="3"/>
  <c r="J121" i="3"/>
  <c r="N138" i="3"/>
  <c r="C138" i="3" s="1"/>
  <c r="M56" i="3"/>
  <c r="M87" i="3"/>
  <c r="J151" i="3"/>
  <c r="M111" i="3"/>
  <c r="L139" i="3"/>
  <c r="N46" i="3"/>
  <c r="C46" i="3" s="1"/>
  <c r="N89" i="3"/>
  <c r="C89" i="3" s="1"/>
  <c r="K62" i="3"/>
  <c r="K140" i="3"/>
  <c r="N127" i="3"/>
  <c r="C127" i="3" s="1"/>
  <c r="M60" i="3"/>
  <c r="M80" i="3"/>
  <c r="J161" i="3"/>
  <c r="J134" i="3"/>
  <c r="L133" i="3"/>
  <c r="J44" i="3"/>
  <c r="J106" i="3"/>
  <c r="K131" i="3"/>
  <c r="J83" i="3"/>
  <c r="J150" i="3"/>
  <c r="L45" i="3"/>
  <c r="L104" i="3"/>
  <c r="K119" i="3"/>
  <c r="N133" i="3"/>
  <c r="C133" i="3" s="1"/>
  <c r="J95" i="3"/>
  <c r="L119" i="3"/>
  <c r="K127" i="3"/>
  <c r="J124" i="3"/>
  <c r="K36" i="3"/>
  <c r="L87" i="3"/>
  <c r="M164" i="3"/>
  <c r="M93" i="3"/>
  <c r="L40" i="3"/>
  <c r="K90" i="3"/>
  <c r="L83" i="3"/>
  <c r="J132" i="3"/>
  <c r="N124" i="3"/>
  <c r="C124" i="3" s="1"/>
  <c r="N74" i="3"/>
  <c r="C74" i="3" s="1"/>
  <c r="J66" i="3"/>
  <c r="K136" i="3"/>
  <c r="K108" i="3"/>
  <c r="J82" i="3"/>
  <c r="L41" i="3"/>
  <c r="K162" i="3"/>
  <c r="J65" i="3"/>
  <c r="M149" i="3"/>
  <c r="L114" i="3"/>
  <c r="J36" i="3"/>
  <c r="K102" i="3"/>
  <c r="J104" i="3"/>
  <c r="M75" i="3"/>
  <c r="M131" i="3"/>
  <c r="L70" i="3"/>
  <c r="K163" i="3"/>
  <c r="L132" i="3"/>
  <c r="L112" i="3"/>
  <c r="N55" i="3"/>
  <c r="C55" i="3" s="1"/>
  <c r="J152" i="3"/>
  <c r="L71" i="3"/>
  <c r="J157" i="3"/>
  <c r="J96" i="3"/>
  <c r="M52" i="3"/>
  <c r="M139" i="3"/>
  <c r="N83" i="3"/>
  <c r="C83" i="3" s="1"/>
  <c r="J159" i="3"/>
  <c r="M112" i="3"/>
  <c r="L55" i="3"/>
  <c r="N134" i="3"/>
  <c r="C134" i="3" s="1"/>
  <c r="K129" i="3"/>
  <c r="K99" i="3"/>
  <c r="N160" i="3"/>
  <c r="C160" i="3" s="1"/>
  <c r="L96" i="3"/>
  <c r="M37" i="3"/>
  <c r="N139" i="3"/>
  <c r="C139" i="3" s="1"/>
  <c r="M120" i="3"/>
  <c r="M72" i="3"/>
  <c r="K55" i="3"/>
  <c r="K106" i="3"/>
  <c r="M154" i="3"/>
  <c r="L90" i="3"/>
  <c r="N82" i="3"/>
  <c r="C82" i="3" s="1"/>
  <c r="K72" i="3"/>
  <c r="J43" i="3"/>
  <c r="J110" i="3"/>
  <c r="N126" i="3"/>
  <c r="C126" i="3" s="1"/>
  <c r="L94" i="3"/>
  <c r="K114" i="3"/>
  <c r="L82" i="3"/>
  <c r="K122" i="3"/>
  <c r="L140" i="3"/>
  <c r="M136" i="3"/>
  <c r="J89" i="3"/>
  <c r="K48" i="3"/>
  <c r="M113" i="3"/>
  <c r="L101" i="3"/>
  <c r="N66" i="3"/>
  <c r="C66" i="3" s="1"/>
  <c r="J61" i="3"/>
  <c r="L65" i="3"/>
  <c r="L130" i="3"/>
  <c r="N64" i="3"/>
  <c r="C64" i="3" s="1"/>
  <c r="L146" i="3"/>
  <c r="L60" i="3"/>
  <c r="K96" i="3"/>
  <c r="L92" i="3"/>
  <c r="M99" i="3"/>
  <c r="J112" i="3"/>
  <c r="K52" i="3"/>
  <c r="N103" i="3"/>
  <c r="C103" i="3" s="1"/>
  <c r="L149" i="3"/>
  <c r="L120" i="3"/>
  <c r="M94" i="3"/>
  <c r="N93" i="3"/>
  <c r="C93" i="3" s="1"/>
  <c r="J136" i="3"/>
  <c r="J55" i="3"/>
  <c r="N109" i="3"/>
  <c r="C109" i="3" s="1"/>
  <c r="N115" i="3"/>
  <c r="C115" i="3" s="1"/>
  <c r="N161" i="3"/>
  <c r="C161" i="3" s="1"/>
  <c r="N132" i="3"/>
  <c r="C132" i="3" s="1"/>
  <c r="M40" i="3"/>
  <c r="L81" i="3"/>
  <c r="N119" i="3"/>
  <c r="C119" i="3" s="1"/>
  <c r="N143" i="3"/>
  <c r="C143" i="3" s="1"/>
  <c r="L110" i="3"/>
  <c r="J137" i="3"/>
  <c r="M67" i="3"/>
  <c r="N155" i="3"/>
  <c r="C155" i="3" s="1"/>
  <c r="K65" i="3"/>
  <c r="L154" i="3"/>
  <c r="J49" i="3"/>
  <c r="M148" i="3"/>
  <c r="M151" i="3"/>
  <c r="M82" i="3"/>
  <c r="J70" i="3"/>
  <c r="K47" i="3"/>
  <c r="M159" i="3"/>
  <c r="K151" i="3"/>
  <c r="N148" i="3"/>
  <c r="C148" i="3" s="1"/>
  <c r="M122" i="3"/>
  <c r="L37" i="3"/>
  <c r="L122" i="3"/>
  <c r="M143" i="3"/>
  <c r="M102" i="3"/>
  <c r="L158" i="3"/>
  <c r="N53" i="3"/>
  <c r="C53" i="3" s="1"/>
  <c r="L73" i="3"/>
  <c r="K64" i="3"/>
  <c r="N111" i="3"/>
  <c r="C111" i="3" s="1"/>
  <c r="L137" i="3"/>
  <c r="K42" i="3"/>
  <c r="J91" i="3"/>
  <c r="M64" i="3"/>
  <c r="M107" i="3"/>
  <c r="N88" i="3"/>
  <c r="C88" i="3" s="1"/>
  <c r="L49" i="3"/>
  <c r="J130" i="3"/>
  <c r="L111" i="3"/>
  <c r="M81" i="3"/>
  <c r="L145" i="3"/>
  <c r="K39" i="3"/>
  <c r="L156" i="3"/>
  <c r="M103" i="3"/>
  <c r="L138" i="3"/>
  <c r="N125" i="3"/>
  <c r="C125" i="3" s="1"/>
  <c r="L46" i="3"/>
  <c r="K137" i="3"/>
  <c r="J142" i="3"/>
  <c r="L121" i="3"/>
  <c r="J90" i="3"/>
  <c r="M42" i="3"/>
  <c r="J128" i="3"/>
  <c r="N158" i="3"/>
  <c r="C158" i="3" s="1"/>
  <c r="M100" i="3"/>
  <c r="K161" i="3"/>
  <c r="K51" i="3"/>
  <c r="N121" i="3"/>
  <c r="C121" i="3" s="1"/>
  <c r="K88" i="3"/>
  <c r="N154" i="3"/>
  <c r="C154" i="3" s="1"/>
  <c r="J162" i="3"/>
  <c r="L47" i="3"/>
  <c r="K139" i="3"/>
  <c r="N130" i="3"/>
  <c r="C130" i="3" s="1"/>
  <c r="K126" i="3"/>
  <c r="M74" i="3"/>
  <c r="N42" i="3"/>
  <c r="C42" i="3" s="1"/>
  <c r="J97" i="3"/>
  <c r="J111" i="3"/>
  <c r="M115" i="3"/>
  <c r="M58" i="3"/>
  <c r="L143" i="3"/>
  <c r="J149" i="3"/>
  <c r="J37" i="3"/>
  <c r="K110" i="3"/>
  <c r="M119" i="3"/>
  <c r="J118" i="3"/>
  <c r="J62" i="3"/>
  <c r="K40" i="3"/>
  <c r="K86" i="3"/>
  <c r="N68" i="3"/>
  <c r="C68" i="3" s="1"/>
  <c r="K104" i="3"/>
  <c r="K59" i="3"/>
  <c r="J69" i="3"/>
  <c r="J122" i="3"/>
  <c r="L151" i="3"/>
  <c r="N128" i="3"/>
  <c r="C128" i="3" s="1"/>
  <c r="L86" i="3"/>
  <c r="L48" i="3"/>
  <c r="K154" i="3"/>
  <c r="K83" i="3"/>
  <c r="L148" i="3"/>
  <c r="L84" i="3"/>
  <c r="K142" i="3"/>
  <c r="L124" i="3"/>
  <c r="J115" i="3"/>
  <c r="L74" i="3"/>
  <c r="J59" i="3"/>
  <c r="M83" i="3"/>
  <c r="L116" i="3"/>
  <c r="K158" i="3"/>
  <c r="J103" i="3"/>
  <c r="N52" i="3"/>
  <c r="C52" i="3" s="1"/>
  <c r="L115" i="3"/>
  <c r="M95" i="3"/>
  <c r="K159" i="3"/>
  <c r="N81" i="3"/>
  <c r="C81" i="3" s="1"/>
  <c r="J60" i="3"/>
  <c r="L100" i="3"/>
  <c r="K103" i="3"/>
  <c r="M142" i="3"/>
  <c r="J87" i="3"/>
  <c r="M53" i="3"/>
  <c r="M91" i="3"/>
  <c r="M110" i="3"/>
  <c r="N101" i="3"/>
  <c r="C101" i="3" s="1"/>
  <c r="L147" i="3"/>
  <c r="L127" i="3"/>
  <c r="J80" i="3"/>
  <c r="N144" i="3"/>
  <c r="C144" i="3" s="1"/>
  <c r="M155" i="3"/>
  <c r="K69" i="3"/>
  <c r="N56" i="3"/>
  <c r="C56" i="3" s="1"/>
  <c r="N120" i="3"/>
  <c r="C120" i="3" s="1"/>
  <c r="N162" i="3"/>
  <c r="C162" i="3" s="1"/>
  <c r="J102" i="3"/>
  <c r="K143" i="3"/>
  <c r="J154" i="3"/>
  <c r="J147" i="3"/>
  <c r="N65" i="3"/>
  <c r="C65" i="3" s="1"/>
  <c r="K153" i="3"/>
  <c r="L136" i="3"/>
  <c r="M51" i="3"/>
  <c r="J141" i="3"/>
  <c r="N84" i="3"/>
  <c r="C84" i="3" s="1"/>
  <c r="L142" i="3"/>
  <c r="L123" i="3"/>
  <c r="M70" i="3"/>
  <c r="J42" i="3"/>
  <c r="K82" i="3"/>
  <c r="K84" i="3"/>
  <c r="N77" i="3"/>
  <c r="C77" i="3" s="1"/>
  <c r="K57" i="3"/>
  <c r="M79" i="3"/>
  <c r="N96" i="3"/>
  <c r="C96" i="3" s="1"/>
  <c r="M138" i="3"/>
  <c r="L88" i="3"/>
  <c r="L56" i="3"/>
  <c r="L113" i="3"/>
  <c r="M152" i="3"/>
  <c r="K93" i="3"/>
  <c r="K63" i="3"/>
  <c r="K44" i="3"/>
  <c r="N104" i="3"/>
  <c r="C104" i="3" s="1"/>
  <c r="J63" i="3"/>
  <c r="J48" i="3"/>
  <c r="M104" i="3"/>
  <c r="L93" i="3"/>
  <c r="J73" i="3"/>
  <c r="K148" i="3"/>
  <c r="K56" i="3"/>
  <c r="L164" i="3"/>
  <c r="N152" i="3"/>
  <c r="C152" i="3" s="1"/>
  <c r="K112" i="3"/>
  <c r="K164" i="3"/>
  <c r="K35" i="3"/>
  <c r="M98" i="3"/>
  <c r="J129" i="3"/>
  <c r="L107" i="3"/>
  <c r="M135" i="3"/>
  <c r="M54" i="3"/>
  <c r="K132" i="3"/>
  <c r="K160" i="3"/>
  <c r="L80" i="3"/>
  <c r="K70" i="3"/>
  <c r="J35" i="3"/>
  <c r="L79" i="3"/>
  <c r="K105" i="3"/>
  <c r="N94" i="3"/>
  <c r="C94" i="3" s="1"/>
  <c r="K150" i="3"/>
  <c r="J38" i="3"/>
  <c r="K144" i="3"/>
  <c r="M114" i="3"/>
  <c r="L85" i="3"/>
  <c r="L155" i="3"/>
  <c r="M97" i="3"/>
  <c r="K71" i="3"/>
  <c r="M147" i="3"/>
  <c r="K133" i="3"/>
  <c r="M160" i="3"/>
  <c r="J39" i="3"/>
  <c r="L159" i="3"/>
  <c r="N140" i="3"/>
  <c r="C140" i="3" s="1"/>
  <c r="K149" i="3"/>
  <c r="N90" i="3"/>
  <c r="C90" i="3" s="1"/>
  <c r="M38" i="3"/>
  <c r="M85" i="3"/>
  <c r="M65" i="3"/>
  <c r="K89" i="3"/>
  <c r="L150" i="3"/>
  <c r="A150" i="3" s="1"/>
  <c r="L42" i="3"/>
  <c r="K157" i="3"/>
  <c r="L102" i="3"/>
  <c r="N87" i="3"/>
  <c r="C87" i="3" s="1"/>
  <c r="K118" i="3"/>
  <c r="M45" i="3"/>
  <c r="N79" i="3"/>
  <c r="C79" i="3" s="1"/>
  <c r="J92" i="3"/>
  <c r="M105" i="3"/>
  <c r="K134" i="3"/>
  <c r="J53" i="3"/>
  <c r="L117" i="3"/>
  <c r="A117" i="3" s="1"/>
  <c r="M140" i="3"/>
  <c r="J81" i="3"/>
  <c r="M84" i="3"/>
  <c r="J41" i="3"/>
  <c r="N99" i="3"/>
  <c r="C99" i="3" s="1"/>
  <c r="J164" i="3"/>
  <c r="N123" i="3"/>
  <c r="C123" i="3" s="1"/>
  <c r="K147" i="3"/>
  <c r="K49" i="3"/>
  <c r="N63" i="3"/>
  <c r="C63" i="3" s="1"/>
  <c r="J158" i="3"/>
  <c r="M109" i="3"/>
  <c r="K75" i="3"/>
  <c r="M156" i="3"/>
  <c r="N69" i="3"/>
  <c r="C69" i="3" s="1"/>
  <c r="L95" i="3"/>
  <c r="N113" i="3"/>
  <c r="C113" i="3" s="1"/>
  <c r="L63" i="3"/>
  <c r="K41" i="3"/>
  <c r="N105" i="3"/>
  <c r="C105" i="3" s="1"/>
  <c r="L157" i="3"/>
  <c r="M69" i="3"/>
  <c r="K58" i="3"/>
  <c r="N157" i="3"/>
  <c r="C157" i="3" s="1"/>
  <c r="K85" i="3"/>
  <c r="M59" i="3"/>
  <c r="L44" i="3"/>
  <c r="K81" i="3"/>
  <c r="J79" i="3"/>
  <c r="M76" i="3"/>
  <c r="L163" i="3"/>
  <c r="K46" i="3"/>
  <c r="J101" i="3"/>
  <c r="M116" i="3"/>
  <c r="N73" i="3"/>
  <c r="C73" i="3" s="1"/>
  <c r="J45" i="3"/>
  <c r="M63" i="3"/>
  <c r="J98" i="3"/>
  <c r="J114" i="3"/>
  <c r="K141" i="3"/>
  <c r="J135" i="3"/>
  <c r="K45" i="3"/>
  <c r="J143" i="3"/>
  <c r="L91" i="3"/>
  <c r="M121" i="3"/>
  <c r="N51" i="3"/>
  <c r="C51" i="3" s="1"/>
  <c r="J133" i="3"/>
  <c r="N163" i="3"/>
  <c r="C163" i="3" s="1"/>
  <c r="N71" i="3"/>
  <c r="C71" i="3" s="1"/>
  <c r="M92" i="3"/>
  <c r="K61" i="3"/>
  <c r="L98" i="3"/>
  <c r="L126" i="3"/>
  <c r="J78" i="3"/>
  <c r="J127" i="3"/>
  <c r="M41" i="3"/>
  <c r="N78" i="3"/>
  <c r="C78" i="3" s="1"/>
  <c r="L118" i="3"/>
  <c r="N91" i="3"/>
  <c r="C91" i="3" s="1"/>
  <c r="K124" i="3"/>
  <c r="L58" i="3"/>
  <c r="L131" i="3"/>
  <c r="J117" i="3"/>
  <c r="L103" i="3"/>
  <c r="K87" i="3"/>
  <c r="J51" i="3"/>
  <c r="M39" i="3"/>
  <c r="N98" i="3"/>
  <c r="C98" i="3" s="1"/>
  <c r="L161" i="3"/>
  <c r="J119" i="3"/>
  <c r="N59" i="3"/>
  <c r="C59" i="3" s="1"/>
  <c r="N156" i="3"/>
  <c r="C156" i="3" s="1"/>
  <c r="L72" i="3"/>
  <c r="J160" i="3"/>
  <c r="L105" i="3"/>
  <c r="N57" i="3"/>
  <c r="C57" i="3" s="1"/>
  <c r="M48" i="3"/>
  <c r="K123" i="3"/>
  <c r="L69" i="3"/>
  <c r="N145" i="3"/>
  <c r="C145" i="3" s="1"/>
  <c r="M146" i="3"/>
  <c r="N37" i="3"/>
  <c r="C37" i="3" s="1"/>
  <c r="J77" i="3"/>
  <c r="K78" i="3"/>
  <c r="L76" i="3"/>
  <c r="A76" i="3" s="1"/>
  <c r="L53" i="3"/>
  <c r="N38" i="3"/>
  <c r="C38" i="3" s="1"/>
  <c r="J84" i="3"/>
  <c r="J123" i="3"/>
  <c r="M133" i="3"/>
  <c r="J139" i="3"/>
  <c r="N44" i="3"/>
  <c r="C44" i="3" s="1"/>
  <c r="K145" i="3"/>
  <c r="L61" i="3"/>
  <c r="M86" i="3"/>
  <c r="K38" i="3"/>
  <c r="J140" i="3"/>
  <c r="M128" i="3"/>
  <c r="M118" i="3"/>
  <c r="N129" i="3"/>
  <c r="C129" i="3" s="1"/>
  <c r="L54" i="3"/>
  <c r="N95" i="3"/>
  <c r="C95" i="3" s="1"/>
  <c r="N70" i="3"/>
  <c r="C70" i="3" s="1"/>
  <c r="M71" i="3"/>
  <c r="J86" i="3"/>
  <c r="N40" i="3"/>
  <c r="C40" i="3" s="1"/>
  <c r="M157" i="3"/>
  <c r="J67" i="3"/>
  <c r="M62" i="3"/>
  <c r="K113" i="3"/>
  <c r="J108" i="3"/>
  <c r="L68" i="3"/>
  <c r="N54" i="3"/>
  <c r="C54" i="3" s="1"/>
  <c r="J163" i="3"/>
  <c r="M66" i="3"/>
  <c r="K74" i="3"/>
  <c r="M61" i="3"/>
  <c r="J50" i="3"/>
  <c r="K95" i="3"/>
  <c r="N159" i="3"/>
  <c r="C159" i="3" s="1"/>
  <c r="L66" i="3"/>
  <c r="N72" i="3"/>
  <c r="C72" i="3" s="1"/>
  <c r="M57" i="3"/>
  <c r="M144" i="3"/>
  <c r="M132" i="3"/>
  <c r="N153" i="3"/>
  <c r="C153" i="3" s="1"/>
  <c r="N58" i="3"/>
  <c r="C58" i="3" s="1"/>
  <c r="L50" i="3"/>
  <c r="M130" i="3"/>
  <c r="K156" i="3"/>
  <c r="N122" i="3"/>
  <c r="C122" i="3" s="1"/>
  <c r="N62" i="3"/>
  <c r="C62" i="3" s="1"/>
  <c r="N39" i="3"/>
  <c r="C39" i="3" s="1"/>
  <c r="M89" i="3"/>
  <c r="M150" i="3"/>
  <c r="K101" i="3"/>
  <c r="J52" i="3"/>
  <c r="N45" i="3"/>
  <c r="C45" i="3" s="1"/>
  <c r="M145" i="3"/>
  <c r="M123" i="3"/>
  <c r="N116" i="3"/>
  <c r="C116" i="3" s="1"/>
  <c r="J120" i="3"/>
  <c r="N43" i="3"/>
  <c r="C43" i="3" s="1"/>
  <c r="M158" i="3"/>
  <c r="N142" i="3"/>
  <c r="C142" i="3" s="1"/>
  <c r="N80" i="3"/>
  <c r="C80" i="3" s="1"/>
  <c r="K100" i="3"/>
  <c r="M50" i="3"/>
  <c r="K80" i="3"/>
  <c r="N141" i="3"/>
  <c r="C141" i="3" s="1"/>
  <c r="J107" i="3"/>
  <c r="L134" i="3"/>
  <c r="J40" i="3"/>
  <c r="N67" i="3"/>
  <c r="C67" i="3" s="1"/>
  <c r="J155" i="3"/>
  <c r="L97" i="3"/>
  <c r="J125" i="3"/>
  <c r="M55" i="3"/>
  <c r="J99" i="3"/>
  <c r="N135" i="3"/>
  <c r="C135" i="3" s="1"/>
  <c r="M137" i="3"/>
  <c r="L135" i="3"/>
  <c r="N49" i="3"/>
  <c r="C49" i="3" s="1"/>
  <c r="L144" i="3"/>
  <c r="A144" i="3" s="1"/>
  <c r="L77" i="3"/>
  <c r="A77" i="3" s="1"/>
  <c r="L64" i="3"/>
  <c r="N76" i="3"/>
  <c r="C76" i="3" s="1"/>
  <c r="J57" i="3"/>
  <c r="N61" i="3"/>
  <c r="C61" i="3" s="1"/>
  <c r="K120" i="3"/>
  <c r="L106" i="3"/>
  <c r="M127" i="3"/>
  <c r="K50" i="3"/>
  <c r="L162" i="3"/>
  <c r="K76" i="3"/>
  <c r="L78" i="3"/>
  <c r="N75" i="3"/>
  <c r="C75" i="3" s="1"/>
  <c r="L38" i="3"/>
  <c r="A38" i="3" s="1"/>
  <c r="M117" i="3"/>
  <c r="N136" i="3"/>
  <c r="C136" i="3" s="1"/>
  <c r="M125" i="3"/>
  <c r="W193" i="6" l="1"/>
  <c r="X193" i="6" s="1"/>
  <c r="W204" i="6"/>
  <c r="X204" i="6" s="1"/>
  <c r="AE204" i="6" s="1"/>
  <c r="AF204" i="6" s="1"/>
  <c r="W180" i="6"/>
  <c r="X180" i="6" s="1"/>
  <c r="AC180" i="6" s="1"/>
  <c r="W211" i="6"/>
  <c r="X211" i="6" s="1"/>
  <c r="Z211" i="6" s="1"/>
  <c r="W168" i="6"/>
  <c r="X168" i="6" s="1"/>
  <c r="AA168" i="6" s="1"/>
  <c r="A30" i="3"/>
  <c r="W174" i="6"/>
  <c r="X174" i="6" s="1"/>
  <c r="AB174" i="6" s="1"/>
  <c r="W185" i="6"/>
  <c r="X185" i="6" s="1"/>
  <c r="AB185" i="6" s="1"/>
  <c r="W192" i="6"/>
  <c r="X192" i="6" s="1"/>
  <c r="AA192" i="6" s="1"/>
  <c r="W190" i="6"/>
  <c r="X190" i="6" s="1"/>
  <c r="AE190" i="6" s="1"/>
  <c r="AF190" i="6" s="1"/>
  <c r="W181" i="6"/>
  <c r="X181" i="6" s="1"/>
  <c r="AD181" i="6" s="1"/>
  <c r="W198" i="6"/>
  <c r="X198" i="6" s="1"/>
  <c r="AB198" i="6" s="1"/>
  <c r="W176" i="6"/>
  <c r="X176" i="6" s="1"/>
  <c r="Y176" i="6" s="1"/>
  <c r="W162" i="6"/>
  <c r="X162" i="6" s="1"/>
  <c r="AC162" i="6" s="1"/>
  <c r="W151" i="6"/>
  <c r="X151" i="6" s="1"/>
  <c r="AE151" i="6" s="1"/>
  <c r="AF151" i="6" s="1"/>
  <c r="W195" i="6"/>
  <c r="X195" i="6" s="1"/>
  <c r="Y195" i="6" s="1"/>
  <c r="W187" i="6"/>
  <c r="X187" i="6" s="1"/>
  <c r="AE187" i="6" s="1"/>
  <c r="AF187" i="6" s="1"/>
  <c r="W205" i="6"/>
  <c r="X205" i="6" s="1"/>
  <c r="AE205" i="6" s="1"/>
  <c r="AF205" i="6" s="1"/>
  <c r="W166" i="6"/>
  <c r="X166" i="6" s="1"/>
  <c r="AC166" i="6" s="1"/>
  <c r="W171" i="6"/>
  <c r="X171" i="6" s="1"/>
  <c r="AB171" i="6" s="1"/>
  <c r="W154" i="6"/>
  <c r="X154" i="6" s="1"/>
  <c r="Z154" i="6" s="1"/>
  <c r="W149" i="6"/>
  <c r="X149" i="6" s="1"/>
  <c r="AD149" i="6" s="1"/>
  <c r="W164" i="6"/>
  <c r="X164" i="6" s="1"/>
  <c r="AA164" i="6" s="1"/>
  <c r="W209" i="6"/>
  <c r="X209" i="6" s="1"/>
  <c r="AA209" i="6" s="1"/>
  <c r="W153" i="6"/>
  <c r="X153" i="6" s="1"/>
  <c r="AC153" i="6" s="1"/>
  <c r="W186" i="6"/>
  <c r="X186" i="6" s="1"/>
  <c r="AA186" i="6" s="1"/>
  <c r="W157" i="6"/>
  <c r="X157" i="6" s="1"/>
  <c r="AA157" i="6" s="1"/>
  <c r="W197" i="6"/>
  <c r="X197" i="6" s="1"/>
  <c r="AB197" i="6" s="1"/>
  <c r="W202" i="6"/>
  <c r="X202" i="6" s="1"/>
  <c r="AB202" i="6" s="1"/>
  <c r="W177" i="6"/>
  <c r="X177" i="6" s="1"/>
  <c r="AC177" i="6" s="1"/>
  <c r="W189" i="6"/>
  <c r="X189" i="6" s="1"/>
  <c r="Z189" i="6" s="1"/>
  <c r="W161" i="6"/>
  <c r="X161" i="6" s="1"/>
  <c r="Y161" i="6" s="1"/>
  <c r="W159" i="6"/>
  <c r="X159" i="6" s="1"/>
  <c r="Z159" i="6" s="1"/>
  <c r="W152" i="6"/>
  <c r="X152" i="6" s="1"/>
  <c r="W196" i="6"/>
  <c r="X196" i="6" s="1"/>
  <c r="W148" i="6"/>
  <c r="X148" i="6" s="1"/>
  <c r="W158" i="6"/>
  <c r="X158" i="6" s="1"/>
  <c r="AA208" i="6"/>
  <c r="AB208" i="6"/>
  <c r="AC208" i="6"/>
  <c r="AE208" i="6"/>
  <c r="AF208" i="6" s="1"/>
  <c r="Y208" i="6"/>
  <c r="AD208" i="6"/>
  <c r="Z208" i="6"/>
  <c r="W191" i="6"/>
  <c r="X191" i="6" s="1"/>
  <c r="AZ97" i="4"/>
  <c r="BA97" i="4"/>
  <c r="AZ67" i="4"/>
  <c r="BA67" i="4"/>
  <c r="BA24" i="4"/>
  <c r="AZ24" i="4"/>
  <c r="BA15" i="4"/>
  <c r="AZ15" i="4"/>
  <c r="BA83" i="4"/>
  <c r="AZ83" i="4"/>
  <c r="AZ22" i="4"/>
  <c r="BA22" i="4"/>
  <c r="BA35" i="4"/>
  <c r="AZ35" i="4"/>
  <c r="BA47" i="4"/>
  <c r="AZ47" i="4"/>
  <c r="AZ13" i="4"/>
  <c r="BA13" i="4"/>
  <c r="AZ25" i="4"/>
  <c r="BA25" i="4"/>
  <c r="AZ95" i="4"/>
  <c r="BA95" i="4"/>
  <c r="BA86" i="4"/>
  <c r="AZ86" i="4"/>
  <c r="W203" i="6"/>
  <c r="X203" i="6" s="1"/>
  <c r="W172" i="6"/>
  <c r="X172" i="6" s="1"/>
  <c r="BA27" i="4"/>
  <c r="AZ27" i="4"/>
  <c r="BA60" i="4"/>
  <c r="AZ60" i="4"/>
  <c r="BA10" i="4"/>
  <c r="AZ10" i="4"/>
  <c r="AZ102" i="4"/>
  <c r="BA102" i="4"/>
  <c r="AZ53" i="4"/>
  <c r="BA53" i="4"/>
  <c r="AZ7" i="4"/>
  <c r="BA7" i="4"/>
  <c r="BA16" i="4"/>
  <c r="AZ16" i="4"/>
  <c r="BA30" i="4"/>
  <c r="AZ30" i="4"/>
  <c r="AZ69" i="4"/>
  <c r="BA69" i="4"/>
  <c r="BA8" i="4"/>
  <c r="AZ8" i="4"/>
  <c r="AZ73" i="4"/>
  <c r="BA73" i="4"/>
  <c r="BA52" i="4"/>
  <c r="AZ52" i="4"/>
  <c r="W194" i="6"/>
  <c r="X194" i="6" s="1"/>
  <c r="AB201" i="6"/>
  <c r="Z201" i="6"/>
  <c r="AA201" i="6"/>
  <c r="AE201" i="6"/>
  <c r="AF201" i="6" s="1"/>
  <c r="AC201" i="6"/>
  <c r="AD201" i="6"/>
  <c r="Y201" i="6"/>
  <c r="W206" i="6"/>
  <c r="X206" i="6" s="1"/>
  <c r="W160" i="6"/>
  <c r="X160" i="6" s="1"/>
  <c r="AZ59" i="4"/>
  <c r="BA59" i="4"/>
  <c r="BA48" i="4"/>
  <c r="AZ48" i="4"/>
  <c r="AZ23" i="4"/>
  <c r="BA23" i="4"/>
  <c r="AZ57" i="4"/>
  <c r="BA57" i="4"/>
  <c r="AZ50" i="4"/>
  <c r="BA50" i="4"/>
  <c r="AZ55" i="4"/>
  <c r="BA55" i="4"/>
  <c r="BA11" i="4"/>
  <c r="AZ11" i="4"/>
  <c r="AZ45" i="4"/>
  <c r="BA45" i="4"/>
  <c r="AZ6" i="4"/>
  <c r="BA6" i="4"/>
  <c r="AZ32" i="4"/>
  <c r="BA32" i="4"/>
  <c r="AZ42" i="4"/>
  <c r="BA42" i="4"/>
  <c r="AZ51" i="4"/>
  <c r="BA51" i="4"/>
  <c r="W167" i="6"/>
  <c r="X167" i="6" s="1"/>
  <c r="W165" i="6"/>
  <c r="X165" i="6" s="1"/>
  <c r="AE211" i="6"/>
  <c r="AF211" i="6" s="1"/>
  <c r="AC211" i="6"/>
  <c r="W199" i="6"/>
  <c r="X199" i="6" s="1"/>
  <c r="AB204" i="6"/>
  <c r="AZ77" i="4"/>
  <c r="BA77" i="4"/>
  <c r="BA79" i="4"/>
  <c r="AZ79" i="4"/>
  <c r="BA70" i="4"/>
  <c r="AZ70" i="4"/>
  <c r="AZ66" i="4"/>
  <c r="BA66" i="4"/>
  <c r="AZ88" i="4"/>
  <c r="BA88" i="4"/>
  <c r="BA65" i="4"/>
  <c r="AZ65" i="4"/>
  <c r="BA49" i="4"/>
  <c r="AZ49" i="4"/>
  <c r="BA63" i="4"/>
  <c r="AZ63" i="4"/>
  <c r="AZ26" i="4"/>
  <c r="BA26" i="4"/>
  <c r="BA76" i="4"/>
  <c r="AZ76" i="4"/>
  <c r="AZ29" i="4"/>
  <c r="BA29" i="4"/>
  <c r="BA56" i="4"/>
  <c r="AZ56" i="4"/>
  <c r="W210" i="6"/>
  <c r="X210" i="6" s="1"/>
  <c r="AB193" i="6"/>
  <c r="AD193" i="6"/>
  <c r="Z193" i="6"/>
  <c r="AE193" i="6"/>
  <c r="AF193" i="6" s="1"/>
  <c r="AA193" i="6"/>
  <c r="AC193" i="6"/>
  <c r="Y193" i="6"/>
  <c r="W169" i="6"/>
  <c r="X169" i="6" s="1"/>
  <c r="W170" i="6"/>
  <c r="X170" i="6" s="1"/>
  <c r="W163" i="6"/>
  <c r="X163" i="6" s="1"/>
  <c r="W156" i="6"/>
  <c r="X156" i="6" s="1"/>
  <c r="AZ64" i="4"/>
  <c r="BA64" i="4"/>
  <c r="AZ91" i="4"/>
  <c r="BA91" i="4"/>
  <c r="BA4" i="4"/>
  <c r="AZ4" i="4"/>
  <c r="BC18" i="4" s="1"/>
  <c r="BA85" i="4"/>
  <c r="AZ85" i="4"/>
  <c r="AZ74" i="4"/>
  <c r="BA74" i="4"/>
  <c r="AZ71" i="4"/>
  <c r="BA71" i="4"/>
  <c r="AZ37" i="4"/>
  <c r="BA37" i="4"/>
  <c r="AZ61" i="4"/>
  <c r="BA61" i="4"/>
  <c r="AZ78" i="4"/>
  <c r="BA78" i="4"/>
  <c r="BA14" i="4"/>
  <c r="AZ14" i="4"/>
  <c r="BA12" i="4"/>
  <c r="AZ12" i="4"/>
  <c r="W175" i="6"/>
  <c r="X175" i="6" s="1"/>
  <c r="W150" i="6"/>
  <c r="X150" i="6" s="1"/>
  <c r="W155" i="6"/>
  <c r="X155" i="6" s="1"/>
  <c r="W178" i="6"/>
  <c r="X178" i="6" s="1"/>
  <c r="BA80" i="4"/>
  <c r="AZ80" i="4"/>
  <c r="BA100" i="4"/>
  <c r="AZ100" i="4"/>
  <c r="AZ75" i="4"/>
  <c r="BA75" i="4"/>
  <c r="AZ87" i="4"/>
  <c r="BA87" i="4"/>
  <c r="BA101" i="4"/>
  <c r="AZ101" i="4"/>
  <c r="AZ9" i="4"/>
  <c r="BA9" i="4"/>
  <c r="BA39" i="4"/>
  <c r="AZ39" i="4"/>
  <c r="BA58" i="4"/>
  <c r="AZ58" i="4"/>
  <c r="AZ98" i="4"/>
  <c r="BA98" i="4"/>
  <c r="AZ89" i="4"/>
  <c r="BA89" i="4"/>
  <c r="BA94" i="4"/>
  <c r="AZ94" i="4"/>
  <c r="BA40" i="4"/>
  <c r="AZ40" i="4"/>
  <c r="W173" i="6"/>
  <c r="X173" i="6" s="1"/>
  <c r="W182" i="6"/>
  <c r="X182" i="6" s="1"/>
  <c r="AZ103" i="4"/>
  <c r="BA103" i="4"/>
  <c r="AZ41" i="4"/>
  <c r="BA41" i="4"/>
  <c r="BA81" i="4"/>
  <c r="AZ81" i="4"/>
  <c r="AZ54" i="4"/>
  <c r="BA54" i="4"/>
  <c r="AZ5" i="4"/>
  <c r="BA5" i="4"/>
  <c r="BA99" i="4"/>
  <c r="AZ99" i="4"/>
  <c r="AZ44" i="4"/>
  <c r="BA44" i="4"/>
  <c r="BA28" i="4"/>
  <c r="AZ28" i="4"/>
  <c r="AZ92" i="4"/>
  <c r="BA92" i="4"/>
  <c r="AZ43" i="4"/>
  <c r="BA43" i="4"/>
  <c r="BA62" i="4"/>
  <c r="AZ62" i="4"/>
  <c r="BA33" i="4"/>
  <c r="AZ33" i="4"/>
  <c r="W200" i="6"/>
  <c r="X200" i="6" s="1"/>
  <c r="W207" i="6"/>
  <c r="X207" i="6" s="1"/>
  <c r="W188" i="6"/>
  <c r="X188" i="6" s="1"/>
  <c r="W183" i="6"/>
  <c r="X183" i="6" s="1"/>
  <c r="W184" i="6"/>
  <c r="X184" i="6" s="1"/>
  <c r="AZ68" i="4"/>
  <c r="BA68" i="4"/>
  <c r="AZ93" i="4"/>
  <c r="BA93" i="4"/>
  <c r="AZ31" i="4"/>
  <c r="BA31" i="4"/>
  <c r="BA36" i="4"/>
  <c r="AZ36" i="4"/>
  <c r="BA72" i="4"/>
  <c r="AZ72" i="4"/>
  <c r="AZ34" i="4"/>
  <c r="BA34" i="4"/>
  <c r="BA38" i="4"/>
  <c r="AZ38" i="4"/>
  <c r="AZ90" i="4"/>
  <c r="BA90" i="4"/>
  <c r="BA82" i="4"/>
  <c r="AZ82" i="4"/>
  <c r="AZ46" i="4"/>
  <c r="BA46" i="4"/>
  <c r="BA84" i="4"/>
  <c r="AZ84" i="4"/>
  <c r="AZ96" i="4"/>
  <c r="BA96" i="4"/>
  <c r="W179" i="6"/>
  <c r="X179" i="6" s="1"/>
  <c r="A142" i="3"/>
  <c r="A66" i="3"/>
  <c r="A40" i="3"/>
  <c r="A106" i="3"/>
  <c r="A11" i="3"/>
  <c r="A44" i="3"/>
  <c r="A26" i="3"/>
  <c r="A6" i="3"/>
  <c r="A60" i="3"/>
  <c r="A115" i="3"/>
  <c r="A134" i="3"/>
  <c r="A68" i="3"/>
  <c r="A159" i="3"/>
  <c r="A102" i="3"/>
  <c r="A91" i="3"/>
  <c r="A85" i="3"/>
  <c r="A97" i="3"/>
  <c r="A153" i="3"/>
  <c r="A63" i="3"/>
  <c r="A58" i="3"/>
  <c r="A120" i="3"/>
  <c r="A37" i="3"/>
  <c r="A50" i="3"/>
  <c r="A22" i="3"/>
  <c r="A118" i="3"/>
  <c r="A157" i="3"/>
  <c r="A155" i="3"/>
  <c r="A93" i="3"/>
  <c r="A130" i="3"/>
  <c r="A113" i="3"/>
  <c r="B37" i="3"/>
  <c r="A35" i="3"/>
  <c r="A123" i="3"/>
  <c r="A74" i="3"/>
  <c r="A110" i="3"/>
  <c r="A154" i="3"/>
  <c r="A53" i="3"/>
  <c r="A105" i="3"/>
  <c r="E21" i="3"/>
  <c r="D21" i="3"/>
  <c r="A95" i="3"/>
  <c r="A88" i="3"/>
  <c r="A162" i="3"/>
  <c r="A61" i="3"/>
  <c r="A121" i="3"/>
  <c r="B21" i="3"/>
  <c r="A46" i="3"/>
  <c r="A52" i="3"/>
  <c r="A147" i="3"/>
  <c r="E26" i="3"/>
  <c r="A16" i="3"/>
  <c r="A8" i="3"/>
  <c r="A23" i="3"/>
  <c r="A103" i="3"/>
  <c r="A72" i="3"/>
  <c r="A100" i="3"/>
  <c r="A84" i="3"/>
  <c r="A140" i="3"/>
  <c r="A56" i="3"/>
  <c r="A90" i="3"/>
  <c r="A131" i="3"/>
  <c r="A64" i="3"/>
  <c r="A54" i="3"/>
  <c r="A161" i="3"/>
  <c r="A126" i="3"/>
  <c r="A42" i="3"/>
  <c r="A48" i="3"/>
  <c r="A111" i="3"/>
  <c r="A9" i="3"/>
  <c r="A47" i="3"/>
  <c r="E6" i="3"/>
  <c r="A71" i="3"/>
  <c r="A138" i="3"/>
  <c r="A78" i="3"/>
  <c r="A116" i="3"/>
  <c r="D19" i="3"/>
  <c r="A69" i="3"/>
  <c r="A129" i="3"/>
  <c r="B26" i="3"/>
  <c r="D26" i="3"/>
  <c r="E84" i="3"/>
  <c r="B84" i="3"/>
  <c r="D84" i="3"/>
  <c r="B48" i="3"/>
  <c r="D48" i="3"/>
  <c r="E48" i="3"/>
  <c r="A136" i="3"/>
  <c r="E60" i="3"/>
  <c r="B60" i="3"/>
  <c r="D60" i="3"/>
  <c r="A148" i="3"/>
  <c r="D69" i="3"/>
  <c r="E69" i="3"/>
  <c r="B69" i="3"/>
  <c r="B97" i="3"/>
  <c r="D97" i="3"/>
  <c r="E97" i="3"/>
  <c r="A73" i="3"/>
  <c r="D49" i="3"/>
  <c r="B49" i="3"/>
  <c r="E49" i="3"/>
  <c r="E136" i="3"/>
  <c r="B136" i="3"/>
  <c r="D136" i="3"/>
  <c r="D61" i="3"/>
  <c r="B61" i="3"/>
  <c r="E61" i="3"/>
  <c r="E37" i="3"/>
  <c r="B159" i="3"/>
  <c r="D159" i="3"/>
  <c r="E159" i="3"/>
  <c r="D95" i="3"/>
  <c r="E95" i="3"/>
  <c r="B95" i="3"/>
  <c r="E106" i="3"/>
  <c r="B106" i="3"/>
  <c r="D106" i="3"/>
  <c r="E64" i="3"/>
  <c r="B64" i="3"/>
  <c r="D64" i="3"/>
  <c r="B113" i="3"/>
  <c r="D113" i="3"/>
  <c r="E113" i="3"/>
  <c r="E156" i="3"/>
  <c r="B156" i="3"/>
  <c r="D156" i="3"/>
  <c r="B46" i="3"/>
  <c r="E46" i="3"/>
  <c r="D46" i="3"/>
  <c r="E100" i="3"/>
  <c r="D100" i="3"/>
  <c r="B100" i="3"/>
  <c r="A62" i="3"/>
  <c r="A24" i="3"/>
  <c r="A25" i="3"/>
  <c r="B22" i="3"/>
  <c r="E22" i="3"/>
  <c r="D22" i="3"/>
  <c r="A17" i="3"/>
  <c r="B117" i="3"/>
  <c r="D117" i="3"/>
  <c r="E117" i="3"/>
  <c r="D127" i="3"/>
  <c r="B127" i="3"/>
  <c r="E127" i="3"/>
  <c r="E133" i="3"/>
  <c r="D133" i="3"/>
  <c r="B133" i="3"/>
  <c r="E114" i="3"/>
  <c r="D114" i="3"/>
  <c r="B114" i="3"/>
  <c r="A163" i="3"/>
  <c r="B53" i="3"/>
  <c r="D53" i="3"/>
  <c r="E53" i="3"/>
  <c r="E63" i="3"/>
  <c r="D63" i="3"/>
  <c r="B63" i="3"/>
  <c r="D42" i="3"/>
  <c r="B42" i="3"/>
  <c r="E42" i="3"/>
  <c r="D90" i="3"/>
  <c r="B90" i="3"/>
  <c r="E90" i="3"/>
  <c r="A156" i="3"/>
  <c r="A81" i="3"/>
  <c r="A92" i="3"/>
  <c r="A82" i="3"/>
  <c r="A96" i="3"/>
  <c r="A112" i="3"/>
  <c r="B36" i="3"/>
  <c r="E36" i="3"/>
  <c r="D36" i="3"/>
  <c r="E44" i="3"/>
  <c r="D44" i="3"/>
  <c r="B44" i="3"/>
  <c r="E72" i="3"/>
  <c r="B72" i="3"/>
  <c r="D72" i="3"/>
  <c r="B144" i="3"/>
  <c r="E144" i="3"/>
  <c r="D144" i="3"/>
  <c r="D138" i="3"/>
  <c r="E138" i="3"/>
  <c r="B138" i="3"/>
  <c r="A33" i="3"/>
  <c r="A34" i="3"/>
  <c r="D6" i="3"/>
  <c r="B6" i="3"/>
  <c r="B108" i="3"/>
  <c r="D108" i="3"/>
  <c r="E108" i="3"/>
  <c r="D120" i="3"/>
  <c r="E120" i="3"/>
  <c r="B120" i="3"/>
  <c r="D50" i="3"/>
  <c r="E50" i="3"/>
  <c r="B50" i="3"/>
  <c r="E119" i="3"/>
  <c r="B119" i="3"/>
  <c r="D119" i="3"/>
  <c r="D78" i="3"/>
  <c r="E78" i="3"/>
  <c r="B78" i="3"/>
  <c r="D98" i="3"/>
  <c r="B98" i="3"/>
  <c r="E98" i="3"/>
  <c r="D164" i="3"/>
  <c r="B164" i="3"/>
  <c r="E164" i="3"/>
  <c r="A164" i="3"/>
  <c r="B59" i="3"/>
  <c r="E59" i="3"/>
  <c r="D59" i="3"/>
  <c r="A158" i="3"/>
  <c r="A101" i="3"/>
  <c r="A132" i="3"/>
  <c r="A114" i="3"/>
  <c r="D66" i="3"/>
  <c r="E66" i="3"/>
  <c r="B66" i="3"/>
  <c r="A133" i="3"/>
  <c r="E121" i="3"/>
  <c r="B121" i="3"/>
  <c r="D121" i="3"/>
  <c r="D109" i="3"/>
  <c r="E109" i="3"/>
  <c r="B109" i="3"/>
  <c r="D153" i="3"/>
  <c r="B153" i="3"/>
  <c r="E153" i="3"/>
  <c r="B131" i="3"/>
  <c r="D131" i="3"/>
  <c r="E131" i="3"/>
  <c r="B58" i="3"/>
  <c r="E58" i="3"/>
  <c r="D58" i="3"/>
  <c r="D54" i="3"/>
  <c r="B54" i="3"/>
  <c r="E54" i="3"/>
  <c r="A67" i="3"/>
  <c r="A59" i="3"/>
  <c r="A31" i="3"/>
  <c r="A32" i="3"/>
  <c r="D31" i="3"/>
  <c r="B31" i="3"/>
  <c r="E31" i="3"/>
  <c r="B32" i="3"/>
  <c r="E32" i="3"/>
  <c r="D32" i="3"/>
  <c r="E23" i="3"/>
  <c r="B23" i="3"/>
  <c r="A18" i="3"/>
  <c r="A19" i="3"/>
  <c r="E19" i="3"/>
  <c r="B19" i="3"/>
  <c r="B20" i="3"/>
  <c r="E20" i="3"/>
  <c r="D20" i="3"/>
  <c r="E11" i="3"/>
  <c r="B11" i="3"/>
  <c r="D11" i="3"/>
  <c r="B9" i="3"/>
  <c r="D9" i="3"/>
  <c r="D99" i="3"/>
  <c r="B99" i="3"/>
  <c r="E99" i="3"/>
  <c r="D125" i="3"/>
  <c r="E125" i="3"/>
  <c r="B125" i="3"/>
  <c r="E79" i="3"/>
  <c r="D79" i="3"/>
  <c r="B79" i="3"/>
  <c r="A79" i="3"/>
  <c r="A107" i="3"/>
  <c r="E147" i="3"/>
  <c r="D147" i="3"/>
  <c r="B147" i="3"/>
  <c r="B149" i="3"/>
  <c r="E149" i="3"/>
  <c r="D149" i="3"/>
  <c r="B142" i="3"/>
  <c r="D142" i="3"/>
  <c r="E142" i="3"/>
  <c r="A145" i="3"/>
  <c r="E91" i="3"/>
  <c r="B91" i="3"/>
  <c r="D91" i="3"/>
  <c r="A94" i="3"/>
  <c r="A87" i="3"/>
  <c r="A104" i="3"/>
  <c r="B134" i="3"/>
  <c r="D134" i="3"/>
  <c r="E134" i="3"/>
  <c r="D76" i="3"/>
  <c r="B76" i="3"/>
  <c r="E76" i="3"/>
  <c r="A108" i="3"/>
  <c r="A75" i="3"/>
  <c r="B56" i="3"/>
  <c r="D56" i="3"/>
  <c r="E56" i="3"/>
  <c r="D74" i="3"/>
  <c r="E74" i="3"/>
  <c r="B74" i="3"/>
  <c r="B30" i="3"/>
  <c r="D30" i="3"/>
  <c r="E30" i="3"/>
  <c r="A14" i="3"/>
  <c r="A15" i="3"/>
  <c r="A12" i="3"/>
  <c r="E9" i="3"/>
  <c r="E15" i="3"/>
  <c r="D15" i="3"/>
  <c r="B14" i="3"/>
  <c r="D14" i="3"/>
  <c r="E14" i="3"/>
  <c r="B15" i="3"/>
  <c r="E57" i="3"/>
  <c r="D57" i="3"/>
  <c r="B57" i="3"/>
  <c r="E67" i="3"/>
  <c r="B67" i="3"/>
  <c r="D67" i="3"/>
  <c r="A98" i="3"/>
  <c r="E45" i="3"/>
  <c r="B45" i="3"/>
  <c r="D45" i="3"/>
  <c r="D41" i="3"/>
  <c r="E41" i="3"/>
  <c r="B41" i="3"/>
  <c r="D92" i="3"/>
  <c r="E92" i="3"/>
  <c r="B92" i="3"/>
  <c r="E35" i="3"/>
  <c r="D35" i="3"/>
  <c r="B35" i="3"/>
  <c r="B129" i="3"/>
  <c r="D129" i="3"/>
  <c r="E129" i="3"/>
  <c r="D154" i="3"/>
  <c r="B154" i="3"/>
  <c r="E154" i="3"/>
  <c r="B87" i="3"/>
  <c r="D87" i="3"/>
  <c r="E87" i="3"/>
  <c r="E115" i="3"/>
  <c r="D115" i="3"/>
  <c r="B115" i="3"/>
  <c r="A86" i="3"/>
  <c r="A143" i="3"/>
  <c r="B70" i="3"/>
  <c r="E70" i="3"/>
  <c r="D70" i="3"/>
  <c r="A149" i="3"/>
  <c r="A146" i="3"/>
  <c r="B96" i="3"/>
  <c r="E96" i="3"/>
  <c r="D96" i="3"/>
  <c r="A70" i="3"/>
  <c r="D65" i="3"/>
  <c r="E65" i="3"/>
  <c r="B65" i="3"/>
  <c r="A45" i="3"/>
  <c r="D161" i="3"/>
  <c r="E161" i="3"/>
  <c r="B161" i="3"/>
  <c r="A139" i="3"/>
  <c r="A89" i="3"/>
  <c r="A141" i="3"/>
  <c r="E146" i="3"/>
  <c r="D146" i="3"/>
  <c r="B146" i="3"/>
  <c r="B145" i="3"/>
  <c r="D145" i="3"/>
  <c r="E145" i="3"/>
  <c r="A51" i="3"/>
  <c r="D33" i="3"/>
  <c r="B33" i="3"/>
  <c r="E33" i="3"/>
  <c r="B29" i="3"/>
  <c r="D29" i="3"/>
  <c r="E29" i="3"/>
  <c r="D23" i="3"/>
  <c r="E10" i="3"/>
  <c r="B10" i="3"/>
  <c r="D10" i="3"/>
  <c r="A7" i="3"/>
  <c r="A39" i="3"/>
  <c r="E40" i="3"/>
  <c r="B40" i="3"/>
  <c r="D40" i="3"/>
  <c r="E107" i="3"/>
  <c r="B107" i="3"/>
  <c r="D107" i="3"/>
  <c r="B155" i="3"/>
  <c r="E155" i="3"/>
  <c r="D155" i="3"/>
  <c r="D139" i="3"/>
  <c r="E139" i="3"/>
  <c r="B139" i="3"/>
  <c r="B77" i="3"/>
  <c r="D77" i="3"/>
  <c r="E77" i="3"/>
  <c r="D143" i="3"/>
  <c r="E143" i="3"/>
  <c r="B143" i="3"/>
  <c r="D158" i="3"/>
  <c r="B158" i="3"/>
  <c r="E158" i="3"/>
  <c r="E39" i="3"/>
  <c r="D39" i="3"/>
  <c r="B39" i="3"/>
  <c r="B73" i="3"/>
  <c r="E73" i="3"/>
  <c r="D73" i="3"/>
  <c r="D80" i="3"/>
  <c r="B80" i="3"/>
  <c r="E80" i="3"/>
  <c r="A124" i="3"/>
  <c r="A137" i="3"/>
  <c r="A122" i="3"/>
  <c r="D137" i="3"/>
  <c r="E137" i="3"/>
  <c r="B137" i="3"/>
  <c r="B89" i="3"/>
  <c r="E89" i="3"/>
  <c r="D89" i="3"/>
  <c r="D110" i="3"/>
  <c r="B110" i="3"/>
  <c r="E110" i="3"/>
  <c r="D157" i="3"/>
  <c r="B157" i="3"/>
  <c r="E157" i="3"/>
  <c r="E132" i="3"/>
  <c r="B132" i="3"/>
  <c r="D132" i="3"/>
  <c r="B124" i="3"/>
  <c r="E124" i="3"/>
  <c r="D124" i="3"/>
  <c r="E150" i="3"/>
  <c r="B150" i="3"/>
  <c r="D150" i="3"/>
  <c r="E47" i="3"/>
  <c r="B47" i="3"/>
  <c r="D47" i="3"/>
  <c r="D105" i="3"/>
  <c r="E105" i="3"/>
  <c r="B105" i="3"/>
  <c r="D126" i="3"/>
  <c r="B126" i="3"/>
  <c r="E126" i="3"/>
  <c r="E71" i="3"/>
  <c r="B71" i="3"/>
  <c r="D71" i="3"/>
  <c r="A109" i="3"/>
  <c r="E116" i="3"/>
  <c r="B116" i="3"/>
  <c r="D116" i="3"/>
  <c r="D148" i="3"/>
  <c r="B148" i="3"/>
  <c r="E148" i="3"/>
  <c r="A28" i="3"/>
  <c r="A29" i="3"/>
  <c r="B18" i="3"/>
  <c r="E18" i="3"/>
  <c r="D18" i="3"/>
  <c r="E17" i="3"/>
  <c r="D17" i="3"/>
  <c r="B17" i="3"/>
  <c r="B12" i="3"/>
  <c r="E12" i="3"/>
  <c r="D12" i="3"/>
  <c r="D34" i="3"/>
  <c r="A135" i="3"/>
  <c r="D163" i="3"/>
  <c r="E163" i="3"/>
  <c r="B163" i="3"/>
  <c r="B160" i="3"/>
  <c r="D160" i="3"/>
  <c r="E160" i="3"/>
  <c r="D51" i="3"/>
  <c r="B51" i="3"/>
  <c r="E51" i="3"/>
  <c r="B81" i="3"/>
  <c r="D81" i="3"/>
  <c r="E81" i="3"/>
  <c r="A80" i="3"/>
  <c r="B141" i="3"/>
  <c r="D141" i="3"/>
  <c r="E141" i="3"/>
  <c r="B102" i="3"/>
  <c r="E102" i="3"/>
  <c r="D102" i="3"/>
  <c r="A127" i="3"/>
  <c r="E103" i="3"/>
  <c r="D103" i="3"/>
  <c r="B103" i="3"/>
  <c r="A151" i="3"/>
  <c r="E62" i="3"/>
  <c r="B62" i="3"/>
  <c r="D62" i="3"/>
  <c r="B130" i="3"/>
  <c r="D130" i="3"/>
  <c r="E130" i="3"/>
  <c r="E43" i="3"/>
  <c r="B43" i="3"/>
  <c r="D43" i="3"/>
  <c r="A55" i="3"/>
  <c r="A41" i="3"/>
  <c r="A83" i="3"/>
  <c r="E83" i="3"/>
  <c r="B83" i="3"/>
  <c r="D83" i="3"/>
  <c r="B151" i="3"/>
  <c r="E151" i="3"/>
  <c r="D151" i="3"/>
  <c r="A160" i="3"/>
  <c r="B68" i="3"/>
  <c r="E68" i="3"/>
  <c r="D68" i="3"/>
  <c r="D37" i="3"/>
  <c r="A125" i="3"/>
  <c r="B85" i="3"/>
  <c r="E85" i="3"/>
  <c r="D85" i="3"/>
  <c r="E93" i="3"/>
  <c r="D93" i="3"/>
  <c r="B93" i="3"/>
  <c r="A99" i="3"/>
  <c r="B27" i="3"/>
  <c r="D27" i="3"/>
  <c r="E28" i="3"/>
  <c r="D28" i="3"/>
  <c r="B28" i="3"/>
  <c r="E27" i="3"/>
  <c r="A20" i="3"/>
  <c r="A21" i="3"/>
  <c r="D16" i="3"/>
  <c r="B16" i="3"/>
  <c r="E16" i="3"/>
  <c r="A13" i="3"/>
  <c r="E34" i="3"/>
  <c r="D52" i="3"/>
  <c r="E52" i="3"/>
  <c r="B52" i="3"/>
  <c r="E86" i="3"/>
  <c r="B86" i="3"/>
  <c r="D86" i="3"/>
  <c r="D140" i="3"/>
  <c r="B140" i="3"/>
  <c r="E140" i="3"/>
  <c r="E123" i="3"/>
  <c r="D123" i="3"/>
  <c r="B123" i="3"/>
  <c r="D135" i="3"/>
  <c r="E135" i="3"/>
  <c r="B135" i="3"/>
  <c r="B101" i="3"/>
  <c r="D101" i="3"/>
  <c r="E101" i="3"/>
  <c r="D38" i="3"/>
  <c r="E38" i="3"/>
  <c r="B38" i="3"/>
  <c r="E122" i="3"/>
  <c r="D122" i="3"/>
  <c r="B122" i="3"/>
  <c r="B118" i="3"/>
  <c r="E118" i="3"/>
  <c r="D118" i="3"/>
  <c r="D111" i="3"/>
  <c r="B111" i="3"/>
  <c r="E111" i="3"/>
  <c r="E162" i="3"/>
  <c r="D162" i="3"/>
  <c r="B162" i="3"/>
  <c r="D128" i="3"/>
  <c r="B128" i="3"/>
  <c r="E128" i="3"/>
  <c r="A49" i="3"/>
  <c r="E55" i="3"/>
  <c r="B55" i="3"/>
  <c r="D55" i="3"/>
  <c r="B112" i="3"/>
  <c r="E112" i="3"/>
  <c r="D112" i="3"/>
  <c r="A65" i="3"/>
  <c r="B152" i="3"/>
  <c r="E152" i="3"/>
  <c r="D152" i="3"/>
  <c r="E104" i="3"/>
  <c r="D104" i="3"/>
  <c r="B104" i="3"/>
  <c r="E82" i="3"/>
  <c r="D82" i="3"/>
  <c r="B82" i="3"/>
  <c r="A119" i="3"/>
  <c r="A128" i="3"/>
  <c r="E75" i="3"/>
  <c r="B75" i="3"/>
  <c r="D75" i="3"/>
  <c r="A57" i="3"/>
  <c r="D88" i="3"/>
  <c r="E88" i="3"/>
  <c r="B88" i="3"/>
  <c r="E94" i="3"/>
  <c r="D94" i="3"/>
  <c r="B94" i="3"/>
  <c r="A152" i="3"/>
  <c r="A43" i="3"/>
  <c r="A36" i="3"/>
  <c r="D24" i="3"/>
  <c r="B24" i="3"/>
  <c r="E24" i="3"/>
  <c r="B25" i="3"/>
  <c r="E25" i="3"/>
  <c r="D25" i="3"/>
  <c r="B13" i="3"/>
  <c r="E13" i="3"/>
  <c r="D13" i="3"/>
  <c r="A10" i="3"/>
  <c r="B8" i="3"/>
  <c r="E8" i="3"/>
  <c r="D8" i="3"/>
  <c r="D7" i="3"/>
  <c r="B7" i="3"/>
  <c r="E7" i="3"/>
  <c r="B34" i="3"/>
  <c r="AB211" i="6" l="1"/>
  <c r="Y168" i="6"/>
  <c r="AD204" i="6"/>
  <c r="AA204" i="6"/>
  <c r="Y180" i="6"/>
  <c r="Z180" i="6"/>
  <c r="AE180" i="6"/>
  <c r="AF180" i="6" s="1"/>
  <c r="AD180" i="6"/>
  <c r="AA180" i="6"/>
  <c r="AB180" i="6"/>
  <c r="AD168" i="6"/>
  <c r="AD211" i="6"/>
  <c r="AB168" i="6"/>
  <c r="AA211" i="6"/>
  <c r="Z168" i="6"/>
  <c r="AE168" i="6"/>
  <c r="AF168" i="6" s="1"/>
  <c r="AC168" i="6"/>
  <c r="Y211" i="6"/>
  <c r="AC174" i="6"/>
  <c r="AD174" i="6"/>
  <c r="AE174" i="6"/>
  <c r="AF174" i="6" s="1"/>
  <c r="AA174" i="6"/>
  <c r="Y204" i="6"/>
  <c r="AC204" i="6"/>
  <c r="AG204" i="6" s="1"/>
  <c r="Z204" i="6"/>
  <c r="AB195" i="6"/>
  <c r="Z174" i="6"/>
  <c r="AD185" i="6"/>
  <c r="Y174" i="6"/>
  <c r="AA161" i="6"/>
  <c r="AB161" i="6"/>
  <c r="AD161" i="6"/>
  <c r="AE185" i="6"/>
  <c r="AF185" i="6" s="1"/>
  <c r="AA185" i="6"/>
  <c r="AC195" i="6"/>
  <c r="Z185" i="6"/>
  <c r="Y192" i="6"/>
  <c r="AC187" i="6"/>
  <c r="AG187" i="6" s="1"/>
  <c r="AD192" i="6"/>
  <c r="AD187" i="6"/>
  <c r="Z192" i="6"/>
  <c r="AE192" i="6"/>
  <c r="AF192" i="6" s="1"/>
  <c r="AB187" i="6"/>
  <c r="Z187" i="6"/>
  <c r="AB153" i="6"/>
  <c r="Y153" i="6"/>
  <c r="AE153" i="6"/>
  <c r="AF153" i="6" s="1"/>
  <c r="AB159" i="6"/>
  <c r="AA159" i="6"/>
  <c r="AB181" i="6"/>
  <c r="AA181" i="6"/>
  <c r="AA187" i="6"/>
  <c r="AC192" i="6"/>
  <c r="AB192" i="6"/>
  <c r="AC186" i="6"/>
  <c r="Z153" i="6"/>
  <c r="Y187" i="6"/>
  <c r="AA153" i="6"/>
  <c r="AD190" i="6"/>
  <c r="AD153" i="6"/>
  <c r="Z190" i="6"/>
  <c r="Z186" i="6"/>
  <c r="AC157" i="6"/>
  <c r="Z181" i="6"/>
  <c r="Y181" i="6"/>
  <c r="AC181" i="6"/>
  <c r="AE181" i="6"/>
  <c r="AF181" i="6" s="1"/>
  <c r="AC185" i="6"/>
  <c r="Y185" i="6"/>
  <c r="Y205" i="6"/>
  <c r="AC190" i="6"/>
  <c r="AG190" i="6" s="1"/>
  <c r="AE159" i="6"/>
  <c r="AF159" i="6" s="1"/>
  <c r="Y159" i="6"/>
  <c r="AD198" i="6"/>
  <c r="AC171" i="6"/>
  <c r="AD205" i="6"/>
  <c r="AB190" i="6"/>
  <c r="AE198" i="6"/>
  <c r="AF198" i="6" s="1"/>
  <c r="Z171" i="6"/>
  <c r="AE171" i="6"/>
  <c r="AF171" i="6" s="1"/>
  <c r="AA171" i="6"/>
  <c r="Z197" i="6"/>
  <c r="AA198" i="6"/>
  <c r="Y171" i="6"/>
  <c r="Y198" i="6"/>
  <c r="AD171" i="6"/>
  <c r="Z198" i="6"/>
  <c r="AC198" i="6"/>
  <c r="Y151" i="6"/>
  <c r="AC159" i="6"/>
  <c r="Z202" i="6"/>
  <c r="Y202" i="6"/>
  <c r="Z176" i="6"/>
  <c r="Y189" i="6"/>
  <c r="AD159" i="6"/>
  <c r="AD162" i="6"/>
  <c r="Y177" i="6"/>
  <c r="AB149" i="6"/>
  <c r="Y190" i="6"/>
  <c r="AA190" i="6"/>
  <c r="Y162" i="6"/>
  <c r="Z177" i="6"/>
  <c r="AB176" i="6"/>
  <c r="AC149" i="6"/>
  <c r="AD177" i="6"/>
  <c r="AC176" i="6"/>
  <c r="Z149" i="6"/>
  <c r="Z162" i="6"/>
  <c r="AB177" i="6"/>
  <c r="AD176" i="6"/>
  <c r="AE154" i="6"/>
  <c r="AF154" i="6" s="1"/>
  <c r="Y149" i="6"/>
  <c r="AA162" i="6"/>
  <c r="AE177" i="6"/>
  <c r="AF177" i="6" s="1"/>
  <c r="AE176" i="6"/>
  <c r="AF176" i="6" s="1"/>
  <c r="Y154" i="6"/>
  <c r="AE149" i="6"/>
  <c r="AF149" i="6" s="1"/>
  <c r="AB162" i="6"/>
  <c r="AA177" i="6"/>
  <c r="AA176" i="6"/>
  <c r="AC154" i="6"/>
  <c r="AA149" i="6"/>
  <c r="AE162" i="6"/>
  <c r="AF162" i="6" s="1"/>
  <c r="AA151" i="6"/>
  <c r="AD151" i="6"/>
  <c r="AC151" i="6"/>
  <c r="AG151" i="6" s="1"/>
  <c r="AB164" i="6"/>
  <c r="Z151" i="6"/>
  <c r="AB151" i="6"/>
  <c r="Z161" i="6"/>
  <c r="AA202" i="6"/>
  <c r="AA195" i="6"/>
  <c r="AB154" i="6"/>
  <c r="AC161" i="6"/>
  <c r="AD202" i="6"/>
  <c r="Z195" i="6"/>
  <c r="AA154" i="6"/>
  <c r="AE161" i="6"/>
  <c r="AF161" i="6" s="1"/>
  <c r="AE202" i="6"/>
  <c r="AF202" i="6" s="1"/>
  <c r="AE195" i="6"/>
  <c r="AF195" i="6" s="1"/>
  <c r="AD154" i="6"/>
  <c r="AC202" i="6"/>
  <c r="AD195" i="6"/>
  <c r="AD209" i="6"/>
  <c r="Z157" i="6"/>
  <c r="Y166" i="6"/>
  <c r="AG208" i="6"/>
  <c r="AE166" i="6"/>
  <c r="AF166" i="6" s="1"/>
  <c r="AB186" i="6"/>
  <c r="AD166" i="6"/>
  <c r="AA205" i="6"/>
  <c r="AB157" i="6"/>
  <c r="Y186" i="6"/>
  <c r="Z166" i="6"/>
  <c r="AC205" i="6"/>
  <c r="AG205" i="6" s="1"/>
  <c r="AD157" i="6"/>
  <c r="AE186" i="6"/>
  <c r="AF186" i="6" s="1"/>
  <c r="AA166" i="6"/>
  <c r="AB205" i="6"/>
  <c r="AE157" i="6"/>
  <c r="AF157" i="6" s="1"/>
  <c r="AD186" i="6"/>
  <c r="AB166" i="6"/>
  <c r="Z205" i="6"/>
  <c r="Y157" i="6"/>
  <c r="AB209" i="6"/>
  <c r="AD164" i="6"/>
  <c r="AB189" i="6"/>
  <c r="Y164" i="6"/>
  <c r="Y209" i="6"/>
  <c r="AC189" i="6"/>
  <c r="AC164" i="6"/>
  <c r="AE209" i="6"/>
  <c r="AF209" i="6" s="1"/>
  <c r="AE189" i="6"/>
  <c r="AF189" i="6" s="1"/>
  <c r="AE164" i="6"/>
  <c r="AF164" i="6" s="1"/>
  <c r="Z209" i="6"/>
  <c r="AD189" i="6"/>
  <c r="AG211" i="6"/>
  <c r="Z164" i="6"/>
  <c r="AC209" i="6"/>
  <c r="AA189" i="6"/>
  <c r="AA197" i="6"/>
  <c r="AC197" i="6"/>
  <c r="Y197" i="6"/>
  <c r="AE197" i="6"/>
  <c r="AF197" i="6" s="1"/>
  <c r="AD197" i="6"/>
  <c r="BB31" i="4"/>
  <c r="BM31" i="4"/>
  <c r="BB44" i="4"/>
  <c r="BM44" i="4"/>
  <c r="BB87" i="4"/>
  <c r="BM87" i="4"/>
  <c r="AB178" i="6"/>
  <c r="Z178" i="6"/>
  <c r="AE178" i="6"/>
  <c r="AF178" i="6" s="1"/>
  <c r="AA178" i="6"/>
  <c r="Y178" i="6"/>
  <c r="AD178" i="6"/>
  <c r="AC178" i="6"/>
  <c r="AC155" i="6"/>
  <c r="AA155" i="6"/>
  <c r="AB155" i="6"/>
  <c r="AD155" i="6"/>
  <c r="Y155" i="6"/>
  <c r="AE155" i="6"/>
  <c r="AF155" i="6" s="1"/>
  <c r="Z155" i="6"/>
  <c r="BM37" i="4"/>
  <c r="BB37" i="4"/>
  <c r="AG193" i="6"/>
  <c r="BB56" i="4"/>
  <c r="BM56" i="4"/>
  <c r="BM63" i="4"/>
  <c r="BB63" i="4"/>
  <c r="BM42" i="4"/>
  <c r="BB42" i="4"/>
  <c r="BB23" i="4"/>
  <c r="BM23" i="4"/>
  <c r="AG201" i="6"/>
  <c r="BB52" i="4"/>
  <c r="BM52" i="4"/>
  <c r="BM30" i="4"/>
  <c r="BB30" i="4"/>
  <c r="BM35" i="4"/>
  <c r="BB35" i="4"/>
  <c r="BM24" i="4"/>
  <c r="BB24" i="4"/>
  <c r="BB84" i="4"/>
  <c r="BM84" i="4"/>
  <c r="BB38" i="4"/>
  <c r="BM38" i="4"/>
  <c r="BM62" i="4"/>
  <c r="BB62" i="4"/>
  <c r="BB81" i="4"/>
  <c r="BM81" i="4"/>
  <c r="BM40" i="4"/>
  <c r="BB40" i="4"/>
  <c r="BM58" i="4"/>
  <c r="BB58" i="4"/>
  <c r="BF12" i="4"/>
  <c r="BB12" i="4"/>
  <c r="BC12" i="4" s="1"/>
  <c r="BD12" i="4"/>
  <c r="BB4" i="4"/>
  <c r="BD4" i="4" s="1"/>
  <c r="BF4" i="4"/>
  <c r="BC19" i="4"/>
  <c r="BC4" i="4"/>
  <c r="BM29" i="4"/>
  <c r="BB29" i="4"/>
  <c r="BF11" i="4"/>
  <c r="BB11" i="4"/>
  <c r="BC11" i="4" s="1"/>
  <c r="BD11" i="4"/>
  <c r="BM73" i="4"/>
  <c r="BB73" i="4"/>
  <c r="BM25" i="4"/>
  <c r="BB25" i="4"/>
  <c r="BM22" i="4"/>
  <c r="BB22" i="4"/>
  <c r="BB67" i="4"/>
  <c r="BM67" i="4"/>
  <c r="BB46" i="4"/>
  <c r="BM46" i="4"/>
  <c r="BB34" i="4"/>
  <c r="BM34" i="4"/>
  <c r="BB93" i="4"/>
  <c r="BM93" i="4"/>
  <c r="BM43" i="4"/>
  <c r="BB43" i="4"/>
  <c r="BM41" i="4"/>
  <c r="BB41" i="4"/>
  <c r="BM75" i="4"/>
  <c r="BB75" i="4"/>
  <c r="BM71" i="4"/>
  <c r="BB71" i="4"/>
  <c r="BM91" i="4"/>
  <c r="BB91" i="4"/>
  <c r="BB49" i="4"/>
  <c r="BM49" i="4"/>
  <c r="BM70" i="4"/>
  <c r="BB70" i="4"/>
  <c r="BB32" i="4"/>
  <c r="BM32" i="4"/>
  <c r="BB55" i="4"/>
  <c r="BM55" i="4"/>
  <c r="BF16" i="4"/>
  <c r="BC16" i="4"/>
  <c r="BB16" i="4"/>
  <c r="BD16" i="4"/>
  <c r="BF10" i="4"/>
  <c r="BB10" i="4"/>
  <c r="BC10" i="4" s="1"/>
  <c r="BD10" i="4"/>
  <c r="Z188" i="6"/>
  <c r="AD188" i="6"/>
  <c r="AC188" i="6"/>
  <c r="AB188" i="6"/>
  <c r="AE188" i="6"/>
  <c r="AF188" i="6" s="1"/>
  <c r="Y188" i="6"/>
  <c r="AA188" i="6"/>
  <c r="BB99" i="4"/>
  <c r="BM99" i="4"/>
  <c r="BB94" i="4"/>
  <c r="BM94" i="4"/>
  <c r="BM39" i="4"/>
  <c r="BB39" i="4"/>
  <c r="BF14" i="4"/>
  <c r="BB14" i="4"/>
  <c r="BD14" i="4"/>
  <c r="BC14" i="4"/>
  <c r="BB48" i="4"/>
  <c r="BM48" i="4"/>
  <c r="BF7" i="4"/>
  <c r="BD7" i="4"/>
  <c r="BB7" i="4"/>
  <c r="BC7" i="4" s="1"/>
  <c r="BF13" i="4"/>
  <c r="BD13" i="4"/>
  <c r="BB13" i="4"/>
  <c r="BC13" i="4" s="1"/>
  <c r="BM97" i="4"/>
  <c r="BB97" i="4"/>
  <c r="BM68" i="4"/>
  <c r="BB68" i="4"/>
  <c r="AC207" i="6"/>
  <c r="Z207" i="6"/>
  <c r="AB207" i="6"/>
  <c r="Y207" i="6"/>
  <c r="AA207" i="6"/>
  <c r="AD207" i="6"/>
  <c r="AE207" i="6"/>
  <c r="AF207" i="6" s="1"/>
  <c r="BB92" i="4"/>
  <c r="BM92" i="4"/>
  <c r="BF5" i="4"/>
  <c r="BB5" i="4"/>
  <c r="BD5" i="4" s="1"/>
  <c r="BC5" i="4"/>
  <c r="BM103" i="4"/>
  <c r="BB103" i="4"/>
  <c r="BB89" i="4"/>
  <c r="BM89" i="4"/>
  <c r="BF9" i="4"/>
  <c r="BB9" i="4"/>
  <c r="BC9" i="4" s="1"/>
  <c r="BD9" i="4"/>
  <c r="BM78" i="4"/>
  <c r="BB78" i="4"/>
  <c r="BM74" i="4"/>
  <c r="BB74" i="4"/>
  <c r="BB64" i="4"/>
  <c r="BM64" i="4"/>
  <c r="BB76" i="4"/>
  <c r="BM76" i="4"/>
  <c r="BM65" i="4"/>
  <c r="BB65" i="4"/>
  <c r="BB79" i="4"/>
  <c r="BM79" i="4"/>
  <c r="BF6" i="4"/>
  <c r="BB6" i="4"/>
  <c r="BC6" i="4" s="1"/>
  <c r="BD6" i="4"/>
  <c r="BB50" i="4"/>
  <c r="BM50" i="4"/>
  <c r="BM59" i="4"/>
  <c r="BB59" i="4"/>
  <c r="BF8" i="4"/>
  <c r="BD8" i="4"/>
  <c r="BB8" i="4"/>
  <c r="BC8" i="4" s="1"/>
  <c r="BB60" i="4"/>
  <c r="BM60" i="4"/>
  <c r="Z203" i="6"/>
  <c r="AB203" i="6"/>
  <c r="AC203" i="6"/>
  <c r="Y203" i="6"/>
  <c r="AD203" i="6"/>
  <c r="AA203" i="6"/>
  <c r="AE203" i="6"/>
  <c r="AF203" i="6" s="1"/>
  <c r="BB83" i="4"/>
  <c r="BM83" i="4"/>
  <c r="AB179" i="6"/>
  <c r="AC179" i="6"/>
  <c r="Y179" i="6"/>
  <c r="AA179" i="6"/>
  <c r="AD179" i="6"/>
  <c r="AE179" i="6"/>
  <c r="AF179" i="6" s="1"/>
  <c r="Z179" i="6"/>
  <c r="BB72" i="4"/>
  <c r="BM72" i="4"/>
  <c r="AD182" i="6"/>
  <c r="AA182" i="6"/>
  <c r="AE182" i="6"/>
  <c r="AF182" i="6" s="1"/>
  <c r="Y182" i="6"/>
  <c r="AB182" i="6"/>
  <c r="Z182" i="6"/>
  <c r="AC182" i="6"/>
  <c r="BM100" i="4"/>
  <c r="BB100" i="4"/>
  <c r="AC156" i="6"/>
  <c r="AA156" i="6"/>
  <c r="AB156" i="6"/>
  <c r="Y156" i="6"/>
  <c r="AD156" i="6"/>
  <c r="Z156" i="6"/>
  <c r="AE156" i="6"/>
  <c r="AF156" i="6" s="1"/>
  <c r="BB26" i="4"/>
  <c r="BM26" i="4"/>
  <c r="BB88" i="4"/>
  <c r="BM88" i="4"/>
  <c r="BB77" i="4"/>
  <c r="BM77" i="4"/>
  <c r="AA167" i="6"/>
  <c r="Z167" i="6"/>
  <c r="Y167" i="6"/>
  <c r="AD167" i="6"/>
  <c r="AC167" i="6"/>
  <c r="AE167" i="6"/>
  <c r="AF167" i="6" s="1"/>
  <c r="AB167" i="6"/>
  <c r="BM69" i="4"/>
  <c r="BB69" i="4"/>
  <c r="BB53" i="4"/>
  <c r="BM53" i="4"/>
  <c r="AB191" i="6"/>
  <c r="AA191" i="6"/>
  <c r="AD191" i="6"/>
  <c r="AC191" i="6"/>
  <c r="AE191" i="6"/>
  <c r="AF191" i="6" s="1"/>
  <c r="Y191" i="6"/>
  <c r="Z191" i="6"/>
  <c r="AC158" i="6"/>
  <c r="AB158" i="6"/>
  <c r="AD158" i="6"/>
  <c r="Y158" i="6"/>
  <c r="AA158" i="6"/>
  <c r="Z158" i="6"/>
  <c r="AE158" i="6"/>
  <c r="AF158" i="6" s="1"/>
  <c r="BB82" i="4"/>
  <c r="BM82" i="4"/>
  <c r="AB200" i="6"/>
  <c r="AE200" i="6"/>
  <c r="AF200" i="6" s="1"/>
  <c r="AD200" i="6"/>
  <c r="Y200" i="6"/>
  <c r="AC200" i="6"/>
  <c r="Z200" i="6"/>
  <c r="AA200" i="6"/>
  <c r="BB96" i="4"/>
  <c r="BM96" i="4"/>
  <c r="BM90" i="4"/>
  <c r="BB90" i="4"/>
  <c r="Y184" i="6"/>
  <c r="Z184" i="6"/>
  <c r="AE184" i="6"/>
  <c r="AF184" i="6" s="1"/>
  <c r="AC184" i="6"/>
  <c r="AB184" i="6"/>
  <c r="AA184" i="6"/>
  <c r="AD184" i="6"/>
  <c r="BM54" i="4"/>
  <c r="BB54" i="4"/>
  <c r="BB98" i="4"/>
  <c r="BM98" i="4"/>
  <c r="AE150" i="6"/>
  <c r="AF150" i="6" s="1"/>
  <c r="AD150" i="6"/>
  <c r="AA150" i="6"/>
  <c r="AC150" i="6"/>
  <c r="Y150" i="6"/>
  <c r="AB150" i="6"/>
  <c r="Z150" i="6"/>
  <c r="BB61" i="4"/>
  <c r="BM61" i="4"/>
  <c r="AA163" i="6"/>
  <c r="AE163" i="6"/>
  <c r="AF163" i="6" s="1"/>
  <c r="AC163" i="6"/>
  <c r="AB163" i="6"/>
  <c r="Z163" i="6"/>
  <c r="Y163" i="6"/>
  <c r="AD163" i="6"/>
  <c r="AC210" i="6"/>
  <c r="Y210" i="6"/>
  <c r="Z210" i="6"/>
  <c r="AD210" i="6"/>
  <c r="AE210" i="6"/>
  <c r="AF210" i="6" s="1"/>
  <c r="AA210" i="6"/>
  <c r="AB210" i="6"/>
  <c r="Z199" i="6"/>
  <c r="AA199" i="6"/>
  <c r="AD199" i="6"/>
  <c r="Y199" i="6"/>
  <c r="AB199" i="6"/>
  <c r="AC199" i="6"/>
  <c r="AE199" i="6"/>
  <c r="AF199" i="6" s="1"/>
  <c r="AE165" i="6"/>
  <c r="AF165" i="6" s="1"/>
  <c r="AB165" i="6"/>
  <c r="AD165" i="6"/>
  <c r="AC165" i="6"/>
  <c r="AA165" i="6"/>
  <c r="Z165" i="6"/>
  <c r="Y165" i="6"/>
  <c r="BB51" i="4"/>
  <c r="BM51" i="4"/>
  <c r="BB45" i="4"/>
  <c r="BM45" i="4"/>
  <c r="BM57" i="4"/>
  <c r="BB57" i="4"/>
  <c r="Y160" i="6"/>
  <c r="AE160" i="6"/>
  <c r="AF160" i="6" s="1"/>
  <c r="AD160" i="6"/>
  <c r="Z160" i="6"/>
  <c r="AC160" i="6"/>
  <c r="AB160" i="6"/>
  <c r="AA160" i="6"/>
  <c r="AB194" i="6"/>
  <c r="Y194" i="6"/>
  <c r="AA194" i="6"/>
  <c r="AC194" i="6"/>
  <c r="Z194" i="6"/>
  <c r="AD194" i="6"/>
  <c r="AE194" i="6"/>
  <c r="AF194" i="6" s="1"/>
  <c r="BM27" i="4"/>
  <c r="BB27" i="4"/>
  <c r="AE172" i="6"/>
  <c r="AF172" i="6" s="1"/>
  <c r="Z172" i="6"/>
  <c r="AC172" i="6"/>
  <c r="AA172" i="6"/>
  <c r="AD172" i="6"/>
  <c r="AB172" i="6"/>
  <c r="Y172" i="6"/>
  <c r="BM86" i="4"/>
  <c r="BB86" i="4"/>
  <c r="BB47" i="4"/>
  <c r="BM47" i="4"/>
  <c r="BF15" i="4"/>
  <c r="BB15" i="4"/>
  <c r="BC15" i="4"/>
  <c r="BD15" i="4"/>
  <c r="AD148" i="6"/>
  <c r="AB148" i="6"/>
  <c r="Z148" i="6"/>
  <c r="AC148" i="6"/>
  <c r="AA148" i="6"/>
  <c r="AE148" i="6"/>
  <c r="AF148" i="6" s="1"/>
  <c r="Y148" i="6"/>
  <c r="BB36" i="4"/>
  <c r="BM36" i="4"/>
  <c r="AD183" i="6"/>
  <c r="AE183" i="6"/>
  <c r="AF183" i="6" s="1"/>
  <c r="AB183" i="6"/>
  <c r="Z183" i="6"/>
  <c r="AC183" i="6"/>
  <c r="Y183" i="6"/>
  <c r="AA183" i="6"/>
  <c r="BM33" i="4"/>
  <c r="BB33" i="4"/>
  <c r="BM28" i="4"/>
  <c r="BB28" i="4"/>
  <c r="Z173" i="6"/>
  <c r="AA173" i="6"/>
  <c r="AE173" i="6"/>
  <c r="AF173" i="6" s="1"/>
  <c r="AD173" i="6"/>
  <c r="AC173" i="6"/>
  <c r="AB173" i="6"/>
  <c r="Y173" i="6"/>
  <c r="BM101" i="4"/>
  <c r="BB101" i="4"/>
  <c r="BB80" i="4"/>
  <c r="BM80" i="4"/>
  <c r="AD175" i="6"/>
  <c r="AA175" i="6"/>
  <c r="AC175" i="6"/>
  <c r="Y175" i="6"/>
  <c r="AE175" i="6"/>
  <c r="AF175" i="6" s="1"/>
  <c r="AB175" i="6"/>
  <c r="Z175" i="6"/>
  <c r="BM85" i="4"/>
  <c r="BB85" i="4"/>
  <c r="AC170" i="6"/>
  <c r="AA170" i="6"/>
  <c r="AE170" i="6"/>
  <c r="AF170" i="6" s="1"/>
  <c r="Y170" i="6"/>
  <c r="AB170" i="6"/>
  <c r="AD170" i="6"/>
  <c r="Z170" i="6"/>
  <c r="AD169" i="6"/>
  <c r="AE169" i="6"/>
  <c r="AF169" i="6" s="1"/>
  <c r="AA169" i="6"/>
  <c r="AB169" i="6"/>
  <c r="AC169" i="6"/>
  <c r="Y169" i="6"/>
  <c r="Z169" i="6"/>
  <c r="BM66" i="4"/>
  <c r="BB66" i="4"/>
  <c r="AB206" i="6"/>
  <c r="AE206" i="6"/>
  <c r="AF206" i="6" s="1"/>
  <c r="Z206" i="6"/>
  <c r="AC206" i="6"/>
  <c r="AA206" i="6"/>
  <c r="Y206" i="6"/>
  <c r="AD206" i="6"/>
  <c r="BB102" i="4"/>
  <c r="BM102" i="4"/>
  <c r="BB95" i="4"/>
  <c r="BM95" i="4"/>
  <c r="Z196" i="6"/>
  <c r="AE196" i="6"/>
  <c r="AF196" i="6" s="1"/>
  <c r="AC196" i="6"/>
  <c r="AD196" i="6"/>
  <c r="AA196" i="6"/>
  <c r="AB196" i="6"/>
  <c r="Y196" i="6"/>
  <c r="AA152" i="6"/>
  <c r="AE152" i="6"/>
  <c r="AF152" i="6" s="1"/>
  <c r="AB152" i="6"/>
  <c r="Z152" i="6"/>
  <c r="AD152" i="6"/>
  <c r="AC152" i="6"/>
  <c r="Y152" i="6"/>
  <c r="AG180" i="6" l="1"/>
  <c r="AG168" i="6"/>
  <c r="AG174" i="6"/>
  <c r="AG185" i="6"/>
  <c r="AG192" i="6"/>
  <c r="AG153" i="6"/>
  <c r="AG181" i="6"/>
  <c r="AG159" i="6"/>
  <c r="AG171" i="6"/>
  <c r="AG177" i="6"/>
  <c r="AG198" i="6"/>
  <c r="AG197" i="6"/>
  <c r="AG149" i="6"/>
  <c r="AG154" i="6"/>
  <c r="AG176" i="6"/>
  <c r="AG162" i="6"/>
  <c r="AG202" i="6"/>
  <c r="AG161" i="6"/>
  <c r="AG157" i="6"/>
  <c r="AG195" i="6"/>
  <c r="AG189" i="6"/>
  <c r="AG166" i="6"/>
  <c r="BE5" i="4"/>
  <c r="AS107" i="4" s="1"/>
  <c r="AG199" i="6"/>
  <c r="AG186" i="6"/>
  <c r="BE14" i="4"/>
  <c r="AG194" i="6"/>
  <c r="AG164" i="6"/>
  <c r="AG167" i="6"/>
  <c r="AG200" i="6"/>
  <c r="AG203" i="6"/>
  <c r="AG173" i="6"/>
  <c r="AG163" i="6"/>
  <c r="BE16" i="4"/>
  <c r="AG179" i="6"/>
  <c r="AG178" i="6"/>
  <c r="AG209" i="6"/>
  <c r="AG155" i="6"/>
  <c r="AG160" i="6"/>
  <c r="AG206" i="6"/>
  <c r="AG169" i="6"/>
  <c r="AG183" i="6"/>
  <c r="AG148" i="6"/>
  <c r="AG184" i="6"/>
  <c r="AG152" i="6"/>
  <c r="BE15" i="4"/>
  <c r="AG150" i="6"/>
  <c r="AG191" i="6"/>
  <c r="AG182" i="6"/>
  <c r="BE4" i="4"/>
  <c r="BC2" i="4"/>
  <c r="AG170" i="6"/>
  <c r="AG196" i="6"/>
  <c r="AG165" i="6"/>
  <c r="AG188" i="6"/>
  <c r="AG210" i="6"/>
  <c r="BD2" i="4"/>
  <c r="AG172" i="6"/>
  <c r="AG158" i="6"/>
  <c r="AG156" i="6"/>
  <c r="AG207" i="6"/>
  <c r="AG175" i="6"/>
  <c r="BE6" i="4" l="1"/>
  <c r="BE7" i="4" s="1"/>
  <c r="AS108" i="4"/>
  <c r="BD18" i="4"/>
  <c r="BE8" i="4" l="1"/>
  <c r="BE9" i="4" l="1"/>
  <c r="BE10" i="4" s="1"/>
  <c r="BE11" i="4" s="1"/>
  <c r="BE12" i="4" s="1"/>
  <c r="BE13" i="4" s="1"/>
  <c r="BD19" i="4" l="1"/>
  <c r="BK20" i="4" s="1"/>
  <c r="BB18" i="4"/>
  <c r="BC97" i="4" s="1"/>
  <c r="BB19" i="4"/>
  <c r="BE30" i="4" s="1"/>
  <c r="BC71" i="4" l="1"/>
  <c r="BD71" i="4" s="1"/>
  <c r="BC22" i="4"/>
  <c r="BC23" i="4" s="1"/>
  <c r="BD23" i="4" s="1"/>
  <c r="BE23" i="4" s="1"/>
  <c r="BF23" i="4" s="1"/>
  <c r="BC65" i="4"/>
  <c r="BD65" i="4" s="1"/>
  <c r="BC74" i="4"/>
  <c r="BD74" i="4" s="1"/>
  <c r="BC94" i="4"/>
  <c r="BD94" i="4" s="1"/>
  <c r="BC91" i="4"/>
  <c r="BD91" i="4" s="1"/>
  <c r="BC101" i="4"/>
  <c r="BD101" i="4" s="1"/>
  <c r="BC80" i="4"/>
  <c r="BD80" i="4" s="1"/>
  <c r="BC83" i="4"/>
  <c r="BD83" i="4" s="1"/>
  <c r="BE56" i="4"/>
  <c r="BC100" i="4"/>
  <c r="BD100" i="4" s="1"/>
  <c r="BC102" i="4"/>
  <c r="BD102" i="4" s="1"/>
  <c r="BC75" i="4"/>
  <c r="BD75" i="4" s="1"/>
  <c r="BC73" i="4"/>
  <c r="BD73" i="4" s="1"/>
  <c r="BC69" i="4"/>
  <c r="BD69" i="4" s="1"/>
  <c r="BC82" i="4"/>
  <c r="BD82" i="4" s="1"/>
  <c r="BC64" i="4"/>
  <c r="BD64" i="4" s="1"/>
  <c r="BC67" i="4"/>
  <c r="BD67" i="4" s="1"/>
  <c r="BC87" i="4"/>
  <c r="BD87" i="4" s="1"/>
  <c r="BC78" i="4"/>
  <c r="BD78" i="4" s="1"/>
  <c r="BC79" i="4"/>
  <c r="BC92" i="4"/>
  <c r="BD92" i="4" s="1"/>
  <c r="BC99" i="4"/>
  <c r="BD99" i="4" s="1"/>
  <c r="BC63" i="4"/>
  <c r="BD63" i="4" s="1"/>
  <c r="BC70" i="4"/>
  <c r="BD70" i="4" s="1"/>
  <c r="BC81" i="4"/>
  <c r="BD81" i="4" s="1"/>
  <c r="BC95" i="4"/>
  <c r="BD95" i="4" s="1"/>
  <c r="BC103" i="4"/>
  <c r="BD103" i="4" s="1"/>
  <c r="BC89" i="4"/>
  <c r="BD89" i="4" s="1"/>
  <c r="BC68" i="4"/>
  <c r="BD68" i="4" s="1"/>
  <c r="BC85" i="4"/>
  <c r="BD85" i="4" s="1"/>
  <c r="BC76" i="4"/>
  <c r="BD76" i="4" s="1"/>
  <c r="BC96" i="4"/>
  <c r="BD96" i="4" s="1"/>
  <c r="BC86" i="4"/>
  <c r="BD86" i="4" s="1"/>
  <c r="BC90" i="4"/>
  <c r="BD90" i="4" s="1"/>
  <c r="BC98" i="4"/>
  <c r="BD98" i="4" s="1"/>
  <c r="BC84" i="4"/>
  <c r="BD84" i="4" s="1"/>
  <c r="BC93" i="4"/>
  <c r="BD93" i="4" s="1"/>
  <c r="BC72" i="4"/>
  <c r="BD72" i="4" s="1"/>
  <c r="BC77" i="4"/>
  <c r="BD77" i="4" s="1"/>
  <c r="BC88" i="4"/>
  <c r="BD88" i="4" s="1"/>
  <c r="BC66" i="4"/>
  <c r="BD66" i="4" s="1"/>
  <c r="BD97" i="4"/>
  <c r="BE80" i="4"/>
  <c r="BE73" i="4"/>
  <c r="BE74" i="4"/>
  <c r="BE87" i="4"/>
  <c r="BE96" i="4"/>
  <c r="BE102" i="4"/>
  <c r="BE27" i="4"/>
  <c r="BE75" i="4"/>
  <c r="BE94" i="4"/>
  <c r="BE91" i="4"/>
  <c r="BE78" i="4"/>
  <c r="BE82" i="4"/>
  <c r="BE86" i="4"/>
  <c r="BE79" i="4"/>
  <c r="BE70" i="4"/>
  <c r="BE95" i="4"/>
  <c r="BE88" i="4"/>
  <c r="BE68" i="4"/>
  <c r="BE99" i="4"/>
  <c r="BE67" i="4"/>
  <c r="BE66" i="4"/>
  <c r="BE22" i="4"/>
  <c r="BE77" i="4"/>
  <c r="BE103" i="4"/>
  <c r="BE100" i="4"/>
  <c r="BE53" i="4"/>
  <c r="BE81" i="4"/>
  <c r="BE69" i="4"/>
  <c r="BE71" i="4"/>
  <c r="BE54" i="4"/>
  <c r="BE29" i="4"/>
  <c r="BE93" i="4"/>
  <c r="BE92" i="4"/>
  <c r="BE85" i="4"/>
  <c r="BE63" i="4"/>
  <c r="BE97" i="4"/>
  <c r="BF97" i="4" s="1"/>
  <c r="BE64" i="4"/>
  <c r="BE83" i="4"/>
  <c r="BE76" i="4"/>
  <c r="BE98" i="4"/>
  <c r="BE72" i="4"/>
  <c r="BE55" i="4"/>
  <c r="BE65" i="4"/>
  <c r="BE89" i="4"/>
  <c r="BE90" i="4"/>
  <c r="BE28" i="4"/>
  <c r="BE84" i="4"/>
  <c r="BE101" i="4"/>
  <c r="BE26" i="4"/>
  <c r="BE57" i="4"/>
  <c r="BF98" i="4" l="1"/>
  <c r="BF65" i="4"/>
  <c r="BF100" i="4"/>
  <c r="BF78" i="4"/>
  <c r="BF74" i="4"/>
  <c r="BF87" i="4"/>
  <c r="BF103" i="4"/>
  <c r="BF83" i="4"/>
  <c r="BF102" i="4"/>
  <c r="BF88" i="4"/>
  <c r="BF70" i="4"/>
  <c r="BF90" i="4"/>
  <c r="BF64" i="4"/>
  <c r="BF71" i="4"/>
  <c r="BF96" i="4"/>
  <c r="BF89" i="4"/>
  <c r="BF82" i="4"/>
  <c r="BF94" i="4"/>
  <c r="BF79" i="4"/>
  <c r="BF101" i="4"/>
  <c r="BF95" i="4"/>
  <c r="BF63" i="4"/>
  <c r="BF75" i="4"/>
  <c r="BF84" i="4"/>
  <c r="BF80" i="4"/>
  <c r="BD79" i="4"/>
  <c r="BF66" i="4"/>
  <c r="BF86" i="4"/>
  <c r="BF81" i="4"/>
  <c r="BC24" i="4"/>
  <c r="BC25" i="4" s="1"/>
  <c r="BD25" i="4" s="1"/>
  <c r="BE25" i="4" s="1"/>
  <c r="BF25" i="4" s="1"/>
  <c r="BF67" i="4"/>
  <c r="BF68" i="4"/>
  <c r="BF91" i="4"/>
  <c r="BF73" i="4"/>
  <c r="BD22" i="4"/>
  <c r="BF22" i="4"/>
  <c r="BF99" i="4"/>
  <c r="BF69" i="4"/>
  <c r="BF72" i="4"/>
  <c r="BF93" i="4"/>
  <c r="BF92" i="4"/>
  <c r="BF85" i="4"/>
  <c r="BF76" i="4"/>
  <c r="BF77" i="4"/>
  <c r="BC36" i="4"/>
  <c r="BC37" i="4" s="1"/>
  <c r="BD37" i="4" s="1"/>
  <c r="BC38" i="4"/>
  <c r="BD38" i="4" s="1"/>
  <c r="BE58" i="4"/>
  <c r="BC60" i="4"/>
  <c r="BD24" i="4" l="1"/>
  <c r="BE24" i="4" s="1"/>
  <c r="BF24" i="4" s="1"/>
  <c r="BC26" i="4"/>
  <c r="BC27" i="4" s="1"/>
  <c r="BC28" i="4" s="1"/>
  <c r="BD28" i="4" s="1"/>
  <c r="BD36" i="4"/>
  <c r="BC39" i="4"/>
  <c r="BD39" i="4" s="1"/>
  <c r="BE59" i="4"/>
  <c r="BD60" i="4"/>
  <c r="BC61" i="4"/>
  <c r="BC29" i="4" l="1"/>
  <c r="BD29" i="4" s="1"/>
  <c r="BF27" i="4"/>
  <c r="BF28" i="4"/>
  <c r="BF26" i="4"/>
  <c r="BD27" i="4"/>
  <c r="BD26" i="4"/>
  <c r="BC40" i="4"/>
  <c r="BD40" i="4" s="1"/>
  <c r="BE60" i="4"/>
  <c r="BF60" i="4" s="1"/>
  <c r="BD61" i="4"/>
  <c r="BC62" i="4"/>
  <c r="BC30" i="4" l="1"/>
  <c r="BD30" i="4" s="1"/>
  <c r="BF29" i="4"/>
  <c r="BE36" i="4"/>
  <c r="BF36" i="4" s="1"/>
  <c r="BC41" i="4"/>
  <c r="BE61" i="4"/>
  <c r="BF61" i="4" s="1"/>
  <c r="BD62" i="4"/>
  <c r="BC31" i="4" l="1"/>
  <c r="BD31" i="4" s="1"/>
  <c r="BE31" i="4" s="1"/>
  <c r="BF31" i="4" s="1"/>
  <c r="BF30" i="4"/>
  <c r="BE37" i="4"/>
  <c r="BF37" i="4" s="1"/>
  <c r="BD41" i="4"/>
  <c r="BC42" i="4"/>
  <c r="BD42" i="4" s="1"/>
  <c r="BE62" i="4"/>
  <c r="BC33" i="4" l="1"/>
  <c r="BC34" i="4" s="1"/>
  <c r="BC32" i="4"/>
  <c r="BD32" i="4" s="1"/>
  <c r="BE32" i="4" s="1"/>
  <c r="BF32" i="4" s="1"/>
  <c r="BE38" i="4"/>
  <c r="BF38" i="4" s="1"/>
  <c r="BC43" i="4"/>
  <c r="BF62" i="4"/>
  <c r="BD33" i="4" l="1"/>
  <c r="BE33" i="4" s="1"/>
  <c r="BF33" i="4" s="1"/>
  <c r="BD34" i="4"/>
  <c r="BE34" i="4" s="1"/>
  <c r="BF34" i="4" s="1"/>
  <c r="BC35" i="4"/>
  <c r="BE39" i="4"/>
  <c r="BF39" i="4" s="1"/>
  <c r="BD43" i="4"/>
  <c r="BC44" i="4"/>
  <c r="BD35" i="4" l="1"/>
  <c r="BE35" i="4" s="1"/>
  <c r="BF35" i="4" s="1"/>
  <c r="BE40" i="4"/>
  <c r="BF40" i="4" s="1"/>
  <c r="BD44" i="4"/>
  <c r="BC45" i="4"/>
  <c r="BD45" i="4" s="1"/>
  <c r="BE41" i="4" l="1"/>
  <c r="BF41" i="4" s="1"/>
  <c r="BC46" i="4"/>
  <c r="BE42" i="4" l="1"/>
  <c r="BF42" i="4" s="1"/>
  <c r="BD46" i="4"/>
  <c r="BC47" i="4"/>
  <c r="BC48" i="4" s="1"/>
  <c r="BE44" i="4" l="1"/>
  <c r="BF44" i="4" s="1"/>
  <c r="BE43" i="4"/>
  <c r="BF43" i="4" s="1"/>
  <c r="BD48" i="4"/>
  <c r="BD47" i="4"/>
  <c r="BC49" i="4"/>
  <c r="BD49" i="4" s="1"/>
  <c r="BE46" i="4" l="1"/>
  <c r="BF46" i="4" s="1"/>
  <c r="BE45" i="4"/>
  <c r="BF45" i="4" s="1"/>
  <c r="BC50" i="4"/>
  <c r="BD50" i="4" s="1"/>
  <c r="BE47" i="4" l="1"/>
  <c r="BF47" i="4" s="1"/>
  <c r="BC51" i="4"/>
  <c r="BD51" i="4" s="1"/>
  <c r="BC53" i="4"/>
  <c r="BE48" i="4" l="1"/>
  <c r="BF48" i="4" s="1"/>
  <c r="BC52" i="4"/>
  <c r="BD52" i="4" s="1"/>
  <c r="BD53" i="4"/>
  <c r="BF53" i="4"/>
  <c r="BC54" i="4"/>
  <c r="BE49" i="4" l="1"/>
  <c r="BF49" i="4" s="1"/>
  <c r="BD54" i="4"/>
  <c r="BF54" i="4"/>
  <c r="BC55" i="4"/>
  <c r="BE50" i="4" l="1"/>
  <c r="BF50" i="4" s="1"/>
  <c r="BD55" i="4"/>
  <c r="BF55" i="4"/>
  <c r="BC56" i="4"/>
  <c r="BE51" i="4" l="1"/>
  <c r="BF51" i="4" s="1"/>
  <c r="BD56" i="4"/>
  <c r="BF56" i="4"/>
  <c r="BC57" i="4"/>
  <c r="BE52" i="4" l="1"/>
  <c r="BF52" i="4" s="1"/>
  <c r="BD57" i="4"/>
  <c r="BF57" i="4"/>
  <c r="BC58" i="4"/>
  <c r="BF19" i="4" l="1"/>
  <c r="BH104" i="4" s="1"/>
  <c r="BE19" i="4"/>
  <c r="BG19" i="4" s="1"/>
  <c r="BD58" i="4"/>
  <c r="BF58" i="4"/>
  <c r="BC59" i="4"/>
  <c r="BD59" i="4" l="1"/>
  <c r="BF59" i="4"/>
  <c r="BF18" i="4"/>
  <c r="BG104" i="4" s="1"/>
  <c r="BE18" i="4"/>
  <c r="BG18" i="4" s="1"/>
  <c r="BG103" i="4" l="1"/>
  <c r="BG102" i="4" s="1"/>
  <c r="BH103" i="4" l="1"/>
  <c r="BI103" i="4" s="1"/>
  <c r="BJ103" i="4" s="1"/>
  <c r="BK103" i="4" s="1"/>
  <c r="BG101" i="4"/>
  <c r="BL103" i="4" l="1"/>
  <c r="BH102" i="4"/>
  <c r="BG100" i="4"/>
  <c r="BI102" i="4" l="1"/>
  <c r="BJ102" i="4" s="1"/>
  <c r="BH101" i="4"/>
  <c r="BG99" i="4"/>
  <c r="BI101" i="4" l="1"/>
  <c r="BJ101" i="4" s="1"/>
  <c r="BH100" i="4"/>
  <c r="BK102" i="4"/>
  <c r="BL102" i="4"/>
  <c r="BG98" i="4"/>
  <c r="BI100" i="4" l="1"/>
  <c r="BJ100" i="4" s="1"/>
  <c r="BH99" i="4"/>
  <c r="BI99" i="4" s="1"/>
  <c r="BJ99" i="4" s="1"/>
  <c r="BL101" i="4"/>
  <c r="BK101" i="4"/>
  <c r="BG97" i="4"/>
  <c r="BH98" i="4" l="1"/>
  <c r="BI98" i="4" s="1"/>
  <c r="BJ98" i="4" s="1"/>
  <c r="BK98" i="4" s="1"/>
  <c r="BK99" i="4"/>
  <c r="BL99" i="4"/>
  <c r="BK100" i="4"/>
  <c r="BL100" i="4"/>
  <c r="BG96" i="4"/>
  <c r="BL98" i="4" l="1"/>
  <c r="BH97" i="4"/>
  <c r="BI97" i="4" s="1"/>
  <c r="BJ97" i="4" s="1"/>
  <c r="BG95" i="4"/>
  <c r="BL97" i="4" l="1"/>
  <c r="BK97" i="4"/>
  <c r="BH96" i="4"/>
  <c r="BI96" i="4" s="1"/>
  <c r="BJ96" i="4" s="1"/>
  <c r="BG94" i="4"/>
  <c r="BH95" i="4" l="1"/>
  <c r="BI95" i="4" s="1"/>
  <c r="BJ95" i="4" s="1"/>
  <c r="BK95" i="4" s="1"/>
  <c r="BL96" i="4"/>
  <c r="BK96" i="4"/>
  <c r="BG93" i="4"/>
  <c r="BH94" i="4" l="1"/>
  <c r="BI94" i="4" s="1"/>
  <c r="BJ94" i="4" s="1"/>
  <c r="BK94" i="4" s="1"/>
  <c r="BL95" i="4"/>
  <c r="BG92" i="4"/>
  <c r="BL94" i="4" l="1"/>
  <c r="BH93" i="4"/>
  <c r="BI93" i="4" s="1"/>
  <c r="BJ93" i="4" s="1"/>
  <c r="BK93" i="4" s="1"/>
  <c r="BG91" i="4"/>
  <c r="BL93" i="4" l="1"/>
  <c r="BH92" i="4"/>
  <c r="BI92" i="4" s="1"/>
  <c r="BJ92" i="4" s="1"/>
  <c r="BG90" i="4"/>
  <c r="BH91" i="4" l="1"/>
  <c r="BI91" i="4" s="1"/>
  <c r="BJ91" i="4" s="1"/>
  <c r="BL92" i="4"/>
  <c r="BK92" i="4"/>
  <c r="BG89" i="4"/>
  <c r="BH90" i="4" l="1"/>
  <c r="BI90" i="4" s="1"/>
  <c r="BJ90" i="4" s="1"/>
  <c r="BL90" i="4" s="1"/>
  <c r="BK91" i="4"/>
  <c r="BL91" i="4"/>
  <c r="BG88" i="4"/>
  <c r="BK90" i="4" l="1"/>
  <c r="BH89" i="4"/>
  <c r="BI89" i="4" s="1"/>
  <c r="BJ89" i="4" s="1"/>
  <c r="BK89" i="4" s="1"/>
  <c r="BG87" i="4"/>
  <c r="BH88" i="4" l="1"/>
  <c r="BI88" i="4" s="1"/>
  <c r="BJ88" i="4" s="1"/>
  <c r="BL88" i="4" s="1"/>
  <c r="BL89" i="4"/>
  <c r="BG86" i="4"/>
  <c r="BH87" i="4" l="1"/>
  <c r="BI87" i="4" s="1"/>
  <c r="BJ87" i="4" s="1"/>
  <c r="BL87" i="4" s="1"/>
  <c r="BK88" i="4"/>
  <c r="BG85" i="4"/>
  <c r="BK87" i="4" l="1"/>
  <c r="BH86" i="4"/>
  <c r="BI86" i="4" s="1"/>
  <c r="BJ86" i="4" s="1"/>
  <c r="BL86" i="4" s="1"/>
  <c r="BG84" i="4"/>
  <c r="BK86" i="4" l="1"/>
  <c r="BH85" i="4"/>
  <c r="BI85" i="4" s="1"/>
  <c r="BJ85" i="4" s="1"/>
  <c r="BK85" i="4" s="1"/>
  <c r="BG83" i="4"/>
  <c r="BH84" i="4" l="1"/>
  <c r="BI84" i="4" s="1"/>
  <c r="BJ84" i="4" s="1"/>
  <c r="BK84" i="4" s="1"/>
  <c r="BL85" i="4"/>
  <c r="BG82" i="4"/>
  <c r="BL84" i="4" l="1"/>
  <c r="BH83" i="4"/>
  <c r="BI83" i="4" s="1"/>
  <c r="BJ83" i="4" s="1"/>
  <c r="BK83" i="4" s="1"/>
  <c r="BG81" i="4"/>
  <c r="BL83" i="4" l="1"/>
  <c r="BH82" i="4"/>
  <c r="BI82" i="4" s="1"/>
  <c r="BJ82" i="4" s="1"/>
  <c r="BK82" i="4" s="1"/>
  <c r="BG80" i="4"/>
  <c r="BH81" i="4" l="1"/>
  <c r="BI81" i="4" s="1"/>
  <c r="BJ81" i="4" s="1"/>
  <c r="BL81" i="4" s="1"/>
  <c r="BL82" i="4"/>
  <c r="BG79" i="4"/>
  <c r="BH80" i="4" l="1"/>
  <c r="BI80" i="4" s="1"/>
  <c r="BJ80" i="4" s="1"/>
  <c r="BL80" i="4" s="1"/>
  <c r="BK81" i="4"/>
  <c r="BG78" i="4"/>
  <c r="BK80" i="4" l="1"/>
  <c r="BH79" i="4"/>
  <c r="BI79" i="4" s="1"/>
  <c r="BJ79" i="4" s="1"/>
  <c r="BK79" i="4" s="1"/>
  <c r="BG77" i="4"/>
  <c r="BL79" i="4" l="1"/>
  <c r="BH78" i="4"/>
  <c r="BI78" i="4" s="1"/>
  <c r="BJ78" i="4" s="1"/>
  <c r="BK78" i="4" s="1"/>
  <c r="BG76" i="4"/>
  <c r="BL78" i="4" l="1"/>
  <c r="BH77" i="4"/>
  <c r="BI77" i="4" s="1"/>
  <c r="BJ77" i="4" s="1"/>
  <c r="BL77" i="4" s="1"/>
  <c r="BG75" i="4"/>
  <c r="BK77" i="4" l="1"/>
  <c r="BH76" i="4"/>
  <c r="BI76" i="4" s="1"/>
  <c r="BJ76" i="4" s="1"/>
  <c r="BK76" i="4" s="1"/>
  <c r="BG74" i="4"/>
  <c r="BH75" i="4" l="1"/>
  <c r="BI75" i="4" s="1"/>
  <c r="BJ75" i="4" s="1"/>
  <c r="BL75" i="4" s="1"/>
  <c r="BL76" i="4"/>
  <c r="BG73" i="4"/>
  <c r="BH74" i="4" l="1"/>
  <c r="BI74" i="4" s="1"/>
  <c r="BJ74" i="4" s="1"/>
  <c r="BL74" i="4" s="1"/>
  <c r="BK75" i="4"/>
  <c r="BG72" i="4"/>
  <c r="BK74" i="4" l="1"/>
  <c r="BH73" i="4"/>
  <c r="BI73" i="4" s="1"/>
  <c r="BJ73" i="4" s="1"/>
  <c r="BL73" i="4" s="1"/>
  <c r="BG71" i="4"/>
  <c r="BH72" i="4" l="1"/>
  <c r="BI72" i="4" s="1"/>
  <c r="BJ72" i="4" s="1"/>
  <c r="BK72" i="4" s="1"/>
  <c r="BK73" i="4"/>
  <c r="BG70" i="4"/>
  <c r="BH71" i="4" l="1"/>
  <c r="BI71" i="4" s="1"/>
  <c r="BJ71" i="4" s="1"/>
  <c r="BK71" i="4" s="1"/>
  <c r="BL72" i="4"/>
  <c r="BG69" i="4"/>
  <c r="BH70" i="4" l="1"/>
  <c r="BI70" i="4" s="1"/>
  <c r="BJ70" i="4" s="1"/>
  <c r="BL70" i="4" s="1"/>
  <c r="BL71" i="4"/>
  <c r="BG68" i="4"/>
  <c r="BH69" i="4" l="1"/>
  <c r="BI69" i="4" s="1"/>
  <c r="BJ69" i="4" s="1"/>
  <c r="BK69" i="4" s="1"/>
  <c r="BK70" i="4"/>
  <c r="BG67" i="4"/>
  <c r="BL69" i="4" l="1"/>
  <c r="BH68" i="4"/>
  <c r="BI68" i="4" s="1"/>
  <c r="BJ68" i="4" s="1"/>
  <c r="BL68" i="4" s="1"/>
  <c r="BG66" i="4"/>
  <c r="BH67" i="4" l="1"/>
  <c r="BI67" i="4" s="1"/>
  <c r="BJ67" i="4" s="1"/>
  <c r="BL67" i="4" s="1"/>
  <c r="BK68" i="4"/>
  <c r="BG65" i="4"/>
  <c r="BH66" i="4" l="1"/>
  <c r="BI66" i="4" s="1"/>
  <c r="BJ66" i="4" s="1"/>
  <c r="BL66" i="4" s="1"/>
  <c r="BK67" i="4"/>
  <c r="BG64" i="4"/>
  <c r="BK66" i="4" l="1"/>
  <c r="BH65" i="4"/>
  <c r="BI65" i="4" s="1"/>
  <c r="BJ65" i="4" s="1"/>
  <c r="BK65" i="4" s="1"/>
  <c r="BG63" i="4"/>
  <c r="BL65" i="4" l="1"/>
  <c r="BN65" i="4" s="1"/>
  <c r="BH64" i="4"/>
  <c r="BI64" i="4" s="1"/>
  <c r="BJ64" i="4" s="1"/>
  <c r="BL64" i="4" s="1"/>
  <c r="BN64" i="4" s="1"/>
  <c r="BG62" i="4"/>
  <c r="BN80" i="4"/>
  <c r="BN96" i="4"/>
  <c r="BN102" i="4"/>
  <c r="BN73" i="4"/>
  <c r="BN81" i="4"/>
  <c r="BN89" i="4"/>
  <c r="BN97" i="4"/>
  <c r="BN76" i="4"/>
  <c r="BN70" i="4"/>
  <c r="BN66" i="4"/>
  <c r="BN74" i="4"/>
  <c r="BN82" i="4"/>
  <c r="BN90" i="4"/>
  <c r="BN68" i="4"/>
  <c r="BN100" i="4"/>
  <c r="BN85" i="4"/>
  <c r="BN94" i="4"/>
  <c r="BN67" i="4"/>
  <c r="BN75" i="4"/>
  <c r="BN83" i="4"/>
  <c r="BN91" i="4"/>
  <c r="BN99" i="4"/>
  <c r="BN84" i="4"/>
  <c r="BN69" i="4"/>
  <c r="BN78" i="4"/>
  <c r="BN92" i="4"/>
  <c r="BN77" i="4"/>
  <c r="BN86" i="4"/>
  <c r="BN71" i="4"/>
  <c r="BN79" i="4"/>
  <c r="BN87" i="4"/>
  <c r="BN95" i="4"/>
  <c r="BN103" i="4"/>
  <c r="BN72" i="4"/>
  <c r="BN88" i="4"/>
  <c r="BN101" i="4"/>
  <c r="BN98" i="4"/>
  <c r="BN93" i="4"/>
  <c r="BH63" i="4" l="1"/>
  <c r="BI63" i="4" s="1"/>
  <c r="BJ63" i="4" s="1"/>
  <c r="BK63" i="4" s="1"/>
  <c r="BK64" i="4"/>
  <c r="BG61" i="4"/>
  <c r="BL63" i="4" l="1"/>
  <c r="BN63" i="4" s="1"/>
  <c r="BH62" i="4"/>
  <c r="BI62" i="4" s="1"/>
  <c r="BJ62" i="4" s="1"/>
  <c r="BG60" i="4"/>
  <c r="BH61" i="4" l="1"/>
  <c r="BI61" i="4" s="1"/>
  <c r="BJ61" i="4" s="1"/>
  <c r="BG59" i="4"/>
  <c r="BH60" i="4" l="1"/>
  <c r="BI60" i="4" s="1"/>
  <c r="BJ60" i="4" s="1"/>
  <c r="BG58" i="4"/>
  <c r="BH59" i="4" l="1"/>
  <c r="BI59" i="4" s="1"/>
  <c r="BJ59" i="4" s="1"/>
  <c r="BG57" i="4"/>
  <c r="BH58" i="4" l="1"/>
  <c r="BI58" i="4" s="1"/>
  <c r="BJ58" i="4" s="1"/>
  <c r="BG56" i="4"/>
  <c r="BH57" i="4" l="1"/>
  <c r="BI57" i="4" s="1"/>
  <c r="BJ57" i="4" s="1"/>
  <c r="BG55" i="4"/>
  <c r="BH56" i="4" l="1"/>
  <c r="BI56" i="4" s="1"/>
  <c r="BJ56" i="4" s="1"/>
  <c r="BG54" i="4"/>
  <c r="BH55" i="4" l="1"/>
  <c r="BI55" i="4" s="1"/>
  <c r="BJ55" i="4" s="1"/>
  <c r="BG53" i="4"/>
  <c r="BH54" i="4" l="1"/>
  <c r="BI54" i="4" s="1"/>
  <c r="BJ54" i="4" s="1"/>
  <c r="BG52" i="4"/>
  <c r="BH53" i="4" l="1"/>
  <c r="BH52" i="4" s="1"/>
  <c r="BI52" i="4" s="1"/>
  <c r="BJ52" i="4" s="1"/>
  <c r="BG51" i="4"/>
  <c r="BI53" i="4" l="1"/>
  <c r="BJ53" i="4" s="1"/>
  <c r="BH51" i="4"/>
  <c r="BI51" i="4" s="1"/>
  <c r="BJ51" i="4" s="1"/>
  <c r="BG50" i="4"/>
  <c r="BH50" i="4" l="1"/>
  <c r="BI50" i="4" s="1"/>
  <c r="BJ50" i="4" s="1"/>
  <c r="BG49" i="4"/>
  <c r="BH49" i="4" l="1"/>
  <c r="BI49" i="4" s="1"/>
  <c r="BJ49" i="4" s="1"/>
  <c r="BG48" i="4"/>
  <c r="BH48" i="4" l="1"/>
  <c r="BI48" i="4" s="1"/>
  <c r="BJ48" i="4" s="1"/>
  <c r="BG47" i="4"/>
  <c r="BG46" i="4" l="1"/>
  <c r="BH47" i="4"/>
  <c r="BI47" i="4" s="1"/>
  <c r="BJ47" i="4" s="1"/>
  <c r="BH46" i="4" l="1"/>
  <c r="BI46" i="4" s="1"/>
  <c r="BJ46" i="4" s="1"/>
  <c r="BG45" i="4"/>
  <c r="BH45" i="4" l="1"/>
  <c r="BI45" i="4" s="1"/>
  <c r="BJ45" i="4" s="1"/>
  <c r="BG44" i="4"/>
  <c r="BH44" i="4" l="1"/>
  <c r="BI44" i="4" s="1"/>
  <c r="BJ44" i="4" s="1"/>
  <c r="BG43" i="4"/>
  <c r="BH43" i="4" l="1"/>
  <c r="BI43" i="4" s="1"/>
  <c r="BJ43" i="4" s="1"/>
  <c r="BG42" i="4"/>
  <c r="BH42" i="4" l="1"/>
  <c r="BI42" i="4" s="1"/>
  <c r="BJ42" i="4" s="1"/>
  <c r="BG41" i="4"/>
  <c r="BH41" i="4" l="1"/>
  <c r="BI41" i="4" s="1"/>
  <c r="BJ41" i="4" s="1"/>
  <c r="BG40" i="4"/>
  <c r="BH40" i="4" l="1"/>
  <c r="BI40" i="4" s="1"/>
  <c r="BJ40" i="4" s="1"/>
  <c r="BG39" i="4"/>
  <c r="BH39" i="4" l="1"/>
  <c r="BI39" i="4" s="1"/>
  <c r="BJ39" i="4" s="1"/>
  <c r="BG38" i="4"/>
  <c r="BH38" i="4" l="1"/>
  <c r="BI38" i="4" s="1"/>
  <c r="BJ38" i="4" s="1"/>
  <c r="BG37" i="4"/>
  <c r="BH37" i="4" l="1"/>
  <c r="BI37" i="4" s="1"/>
  <c r="BJ37" i="4" s="1"/>
  <c r="BG36" i="4"/>
  <c r="BK61" i="4"/>
  <c r="BL61" i="4" s="1"/>
  <c r="BN61" i="4" s="1"/>
  <c r="AS109" i="4" s="1"/>
  <c r="BH36" i="4" l="1"/>
  <c r="BI36" i="4" s="1"/>
  <c r="BJ36" i="4" s="1"/>
  <c r="BG35" i="4"/>
  <c r="BK62" i="4"/>
  <c r="BL62" i="4" s="1"/>
  <c r="BN62" i="4" s="1"/>
  <c r="AS110" i="4" s="1"/>
  <c r="BH35" i="4" l="1"/>
  <c r="BI35" i="4" s="1"/>
  <c r="BJ35" i="4" s="1"/>
  <c r="BG34" i="4"/>
  <c r="AS90" i="4"/>
  <c r="BH34" i="4" l="1"/>
  <c r="BI34" i="4" s="1"/>
  <c r="BJ34" i="4" s="1"/>
  <c r="BG33" i="4"/>
  <c r="BH33" i="4" l="1"/>
  <c r="BI33" i="4" s="1"/>
  <c r="BJ33" i="4" s="1"/>
  <c r="BG32" i="4"/>
  <c r="BH32" i="4" l="1"/>
  <c r="BI32" i="4" s="1"/>
  <c r="BJ32" i="4" s="1"/>
  <c r="BG31" i="4"/>
  <c r="AS114" i="4"/>
  <c r="AS88" i="4"/>
  <c r="BH31" i="4" l="1"/>
  <c r="BI31" i="4" s="1"/>
  <c r="BJ31" i="4" s="1"/>
  <c r="BG30" i="4"/>
  <c r="AS115" i="4"/>
  <c r="BL53" i="4"/>
  <c r="BN53" i="4" s="1"/>
  <c r="BH30" i="4" l="1"/>
  <c r="BI30" i="4" s="1"/>
  <c r="BJ30" i="4" s="1"/>
  <c r="BG29" i="4"/>
  <c r="BL54" i="4"/>
  <c r="BN54" i="4" s="1"/>
  <c r="BH29" i="4" l="1"/>
  <c r="BI29" i="4" s="1"/>
  <c r="BJ29" i="4" s="1"/>
  <c r="BG28" i="4"/>
  <c r="BL55" i="4"/>
  <c r="BN55" i="4" s="1"/>
  <c r="BH28" i="4" l="1"/>
  <c r="BI28" i="4" s="1"/>
  <c r="BJ28" i="4" s="1"/>
  <c r="BG27" i="4"/>
  <c r="BL56" i="4"/>
  <c r="BN56" i="4" s="1"/>
  <c r="BH27" i="4" l="1"/>
  <c r="BI27" i="4" s="1"/>
  <c r="BJ27" i="4" s="1"/>
  <c r="BG26" i="4"/>
  <c r="BL57" i="4"/>
  <c r="BN57" i="4" s="1"/>
  <c r="BH26" i="4" l="1"/>
  <c r="BI26" i="4" s="1"/>
  <c r="BJ26" i="4" s="1"/>
  <c r="BG25" i="4"/>
  <c r="BL58" i="4"/>
  <c r="BN58" i="4" s="1"/>
  <c r="BH25" i="4" l="1"/>
  <c r="BI25" i="4" s="1"/>
  <c r="BG24" i="4"/>
  <c r="AS89" i="4"/>
  <c r="BL59" i="4"/>
  <c r="BN59" i="4" s="1"/>
  <c r="BK60" i="4"/>
  <c r="BL60" i="4" s="1"/>
  <c r="BH24" i="4" l="1"/>
  <c r="BI24" i="4" s="1"/>
  <c r="BJ24" i="4" s="1"/>
  <c r="BJ25" i="4"/>
  <c r="BG23" i="4"/>
  <c r="BN60" i="4"/>
  <c r="BH23" i="4" l="1"/>
  <c r="BI23" i="4" s="1"/>
  <c r="BJ23" i="4" s="1"/>
  <c r="BG22" i="4"/>
  <c r="BH22" i="4" l="1"/>
  <c r="BI22" i="4" s="1"/>
  <c r="BJ22" i="4" s="1"/>
  <c r="BK22" i="4" s="1"/>
  <c r="BL22" i="4" s="1"/>
  <c r="BN22" i="4" s="1"/>
  <c r="AS137" i="4" l="1"/>
  <c r="BK23" i="4"/>
  <c r="BK24" i="4" s="1"/>
  <c r="BL24" i="4" s="1"/>
  <c r="BN24" i="4" s="1"/>
  <c r="BK25" i="4" l="1"/>
  <c r="BL25" i="4" s="1"/>
  <c r="BN25" i="4" s="1"/>
  <c r="BL23" i="4"/>
  <c r="BN23" i="4" s="1"/>
  <c r="BK26" i="4" l="1"/>
  <c r="BL26" i="4" s="1"/>
  <c r="BN26" i="4" s="1"/>
  <c r="AS138" i="4"/>
  <c r="AS86" i="4" l="1"/>
  <c r="AS87" i="4"/>
  <c r="AS84" i="4"/>
  <c r="AS85" i="4"/>
  <c r="AS83" i="4"/>
  <c r="BK27" i="4"/>
  <c r="BL27" i="4" s="1"/>
  <c r="BN27" i="4" s="1"/>
  <c r="BK28" i="4" l="1"/>
  <c r="BL28" i="4" s="1"/>
  <c r="BN28" i="4" s="1"/>
  <c r="BK29" i="4" l="1"/>
  <c r="BL29" i="4" s="1"/>
  <c r="BN29" i="4" s="1"/>
  <c r="BK30" i="4" l="1"/>
  <c r="BK31" i="4" s="1"/>
  <c r="BL30" i="4" l="1"/>
  <c r="BN30" i="4" s="1"/>
  <c r="AS4" i="4" s="1"/>
  <c r="AS10" i="4"/>
  <c r="BK32" i="4"/>
  <c r="BL31" i="4"/>
  <c r="BN31" i="4" s="1"/>
  <c r="AS5" i="4" s="1"/>
  <c r="AS12" i="4" l="1"/>
  <c r="AS21" i="4"/>
  <c r="AS11" i="4"/>
  <c r="BL32" i="4"/>
  <c r="BN32" i="4" s="1"/>
  <c r="BK33" i="4"/>
  <c r="AS13" i="4" l="1"/>
  <c r="AS6" i="4"/>
  <c r="AS22" i="4"/>
  <c r="BL33" i="4"/>
  <c r="BN33" i="4" s="1"/>
  <c r="AS7" i="4" s="1"/>
  <c r="BK34" i="4"/>
  <c r="AS14" i="4" l="1"/>
  <c r="AS23" i="4"/>
  <c r="BK35" i="4"/>
  <c r="BL34" i="4"/>
  <c r="BN34" i="4" s="1"/>
  <c r="AS8" i="4" s="1"/>
  <c r="AS15" i="4" l="1"/>
  <c r="AS24" i="4"/>
  <c r="AS27" i="4"/>
  <c r="BL35" i="4"/>
  <c r="BN35" i="4" s="1"/>
  <c r="AS9" i="4" s="1"/>
  <c r="BK36" i="4"/>
  <c r="AS26" i="4" l="1"/>
  <c r="AS73" i="4"/>
  <c r="AS16" i="4"/>
  <c r="AS25" i="4"/>
  <c r="BK37" i="4"/>
  <c r="BL36" i="4"/>
  <c r="BN36" i="4" s="1"/>
  <c r="AS28" i="4"/>
  <c r="AS81" i="4" l="1"/>
  <c r="AS82" i="4"/>
  <c r="AS79" i="4"/>
  <c r="AS80" i="4"/>
  <c r="AS77" i="4"/>
  <c r="AS78" i="4"/>
  <c r="AS75" i="4"/>
  <c r="AS76" i="4"/>
  <c r="AS74" i="4"/>
  <c r="AS17" i="4"/>
  <c r="AS29" i="4"/>
  <c r="BL37" i="4"/>
  <c r="BN37" i="4" s="1"/>
  <c r="AS18" i="4" s="1"/>
  <c r="BK38" i="4"/>
  <c r="AS46" i="4" l="1"/>
  <c r="BK39" i="4"/>
  <c r="BL38" i="4"/>
  <c r="BN38" i="4" s="1"/>
  <c r="AS30" i="4"/>
  <c r="AS47" i="4" l="1"/>
  <c r="AS19" i="4"/>
  <c r="AS31" i="4"/>
  <c r="BK40" i="4"/>
  <c r="BL39" i="4"/>
  <c r="BN39" i="4" s="1"/>
  <c r="AS62" i="4" s="1"/>
  <c r="AS20" i="4" l="1"/>
  <c r="AS32" i="4"/>
  <c r="AS48" i="4"/>
  <c r="BK41" i="4"/>
  <c r="BL40" i="4"/>
  <c r="BN40" i="4" s="1"/>
  <c r="AS63" i="4" s="1"/>
  <c r="AS49" i="4" l="1"/>
  <c r="AS33" i="4"/>
  <c r="BK42" i="4"/>
  <c r="BL41" i="4"/>
  <c r="BL42" i="4" l="1"/>
  <c r="BN42" i="4" s="1"/>
  <c r="BK43" i="4"/>
  <c r="BN41" i="4"/>
  <c r="AS35" i="4"/>
  <c r="AS51" i="4" l="1"/>
  <c r="AS65" i="4"/>
  <c r="AS50" i="4"/>
  <c r="AS64" i="4"/>
  <c r="BK44" i="4"/>
  <c r="BL43" i="4"/>
  <c r="AS34" i="4"/>
  <c r="BN43" i="4" l="1"/>
  <c r="AS66" i="4" s="1"/>
  <c r="BK45" i="4"/>
  <c r="BL44" i="4"/>
  <c r="AS113" i="4"/>
  <c r="AS36" i="4" l="1"/>
  <c r="AS52" i="4"/>
  <c r="BN44" i="4"/>
  <c r="BK46" i="4"/>
  <c r="BL45" i="4"/>
  <c r="AS53" i="4" l="1"/>
  <c r="AS67" i="4"/>
  <c r="BN45" i="4"/>
  <c r="AS68" i="4" s="1"/>
  <c r="BK47" i="4"/>
  <c r="BL46" i="4"/>
  <c r="AS37" i="4"/>
  <c r="AS38" i="4" l="1"/>
  <c r="AS54" i="4"/>
  <c r="BN46" i="4"/>
  <c r="BK48" i="4"/>
  <c r="BL47" i="4"/>
  <c r="AS55" i="4" l="1"/>
  <c r="AS69" i="4"/>
  <c r="BN47" i="4"/>
  <c r="AS39" i="4"/>
  <c r="BK49" i="4"/>
  <c r="BL48" i="4"/>
  <c r="AS59" i="4" l="1"/>
  <c r="AS70" i="4"/>
  <c r="AS40" i="4"/>
  <c r="AS56" i="4"/>
  <c r="BN48" i="4"/>
  <c r="AS71" i="4" s="1"/>
  <c r="BK50" i="4"/>
  <c r="BL49" i="4"/>
  <c r="AS57" i="4" l="1"/>
  <c r="AS60" i="4"/>
  <c r="BN49" i="4"/>
  <c r="AS41" i="4"/>
  <c r="BL50" i="4"/>
  <c r="BK51" i="4"/>
  <c r="AS61" i="4" l="1"/>
  <c r="AS72" i="4"/>
  <c r="AS42" i="4"/>
  <c r="AS58" i="4"/>
  <c r="BN50" i="4"/>
  <c r="BK52" i="4"/>
  <c r="BL51" i="4"/>
  <c r="BN51" i="4" l="1"/>
  <c r="AS44" i="4" s="1"/>
  <c r="BK53" i="4"/>
  <c r="BK54" i="4" s="1"/>
  <c r="BK55" i="4" s="1"/>
  <c r="BK56" i="4" s="1"/>
  <c r="BK57" i="4" s="1"/>
  <c r="BK58" i="4" s="1"/>
  <c r="BK59" i="4" s="1"/>
  <c r="BL52" i="4"/>
  <c r="C64" i="4" s="1"/>
  <c r="AS43" i="4"/>
  <c r="C70" i="4" l="1"/>
  <c r="C67" i="4"/>
  <c r="BN52" i="4"/>
  <c r="C80" i="4"/>
  <c r="C79" i="4"/>
  <c r="C76" i="4"/>
  <c r="C71" i="4"/>
  <c r="C75" i="4"/>
  <c r="C61" i="4"/>
  <c r="C69" i="4"/>
  <c r="C65" i="4"/>
  <c r="C62" i="4"/>
  <c r="C74" i="4"/>
  <c r="C73" i="4"/>
  <c r="C68" i="4"/>
  <c r="C78" i="4"/>
  <c r="C66" i="4"/>
  <c r="C63" i="4"/>
  <c r="C77" i="4"/>
  <c r="C72" i="4"/>
  <c r="D54" i="4" l="1"/>
  <c r="H52" i="4"/>
  <c r="D50" i="4"/>
  <c r="I50" i="4"/>
  <c r="I51" i="4" s="1"/>
  <c r="I52" i="4" s="1"/>
  <c r="I53" i="4" s="1"/>
  <c r="I54" i="4" s="1"/>
  <c r="C52" i="4"/>
  <c r="C50" i="4"/>
  <c r="D56" i="4"/>
  <c r="C51" i="4"/>
  <c r="D57" i="4"/>
  <c r="D51" i="4"/>
  <c r="D55" i="4"/>
  <c r="D53" i="4"/>
  <c r="C53" i="4"/>
  <c r="C57" i="4"/>
  <c r="G53" i="4"/>
  <c r="D52" i="4"/>
  <c r="AS45" i="4"/>
  <c r="K200" i="4" s="1"/>
  <c r="D75" i="4"/>
  <c r="D209" i="4" s="1"/>
  <c r="D80" i="4"/>
  <c r="D214" i="4" s="1"/>
  <c r="D67" i="4"/>
  <c r="D79" i="4"/>
  <c r="D213" i="4" s="1"/>
  <c r="D77" i="4"/>
  <c r="D211" i="4" s="1"/>
  <c r="D72" i="4"/>
  <c r="D206" i="4" s="1"/>
  <c r="D78" i="4"/>
  <c r="D212" i="4" s="1"/>
  <c r="D65" i="4"/>
  <c r="D199" i="4" s="1"/>
  <c r="D69" i="4"/>
  <c r="D203" i="4" s="1"/>
  <c r="D74" i="4"/>
  <c r="D208" i="4" s="1"/>
  <c r="D76" i="4"/>
  <c r="D210" i="4" s="1"/>
  <c r="D64" i="4"/>
  <c r="D63" i="4"/>
  <c r="D197" i="4" s="1"/>
  <c r="D66" i="4"/>
  <c r="D200" i="4" s="1"/>
  <c r="D73" i="4"/>
  <c r="D207" i="4" s="1"/>
  <c r="D71" i="4"/>
  <c r="D205" i="4" s="1"/>
  <c r="D68" i="4"/>
  <c r="D202" i="4" s="1"/>
  <c r="D61" i="4"/>
  <c r="D195" i="4" s="1"/>
  <c r="D62" i="4"/>
  <c r="D196" i="4" s="1"/>
  <c r="D70" i="4"/>
  <c r="E66" i="4" l="1"/>
  <c r="E80" i="4"/>
  <c r="E78" i="4"/>
  <c r="E73" i="4"/>
  <c r="E71" i="4"/>
  <c r="E62" i="4"/>
  <c r="E72" i="4"/>
  <c r="E68" i="4"/>
  <c r="D198" i="4"/>
  <c r="E64" i="4"/>
  <c r="C55" i="4"/>
  <c r="E63" i="4"/>
  <c r="K210" i="4"/>
  <c r="K195" i="4"/>
  <c r="K197" i="4"/>
  <c r="K198" i="4"/>
  <c r="K207" i="4"/>
  <c r="K206" i="4"/>
  <c r="K211" i="4"/>
  <c r="K199" i="4"/>
  <c r="K209" i="4"/>
  <c r="K201" i="4"/>
  <c r="K214" i="4"/>
  <c r="K202" i="4"/>
  <c r="K208" i="4"/>
  <c r="K203" i="4"/>
  <c r="K204" i="4"/>
  <c r="K212" i="4"/>
  <c r="K205" i="4"/>
  <c r="K196" i="4"/>
  <c r="K213" i="4"/>
  <c r="E79" i="4"/>
  <c r="E61" i="4"/>
  <c r="D204" i="4"/>
  <c r="E70" i="4"/>
  <c r="D201" i="4"/>
  <c r="E67" i="4"/>
  <c r="E75" i="4"/>
  <c r="E65" i="4"/>
  <c r="E74" i="4"/>
  <c r="C56" i="4"/>
  <c r="G52" i="4"/>
  <c r="E69" i="4"/>
  <c r="E77" i="4"/>
  <c r="E76" i="4"/>
  <c r="C54" i="4"/>
  <c r="F77" i="4" l="1"/>
  <c r="F78" i="4"/>
  <c r="F80" i="4"/>
  <c r="F79" i="4"/>
  <c r="F76" i="4"/>
  <c r="F75" i="4"/>
  <c r="F73" i="4"/>
  <c r="F74" i="4"/>
  <c r="F72" i="4"/>
  <c r="F66" i="4"/>
  <c r="F67" i="4"/>
  <c r="F65" i="4"/>
  <c r="F71" i="4"/>
  <c r="F69" i="4"/>
  <c r="F70" i="4"/>
  <c r="F64" i="4"/>
  <c r="F61" i="4"/>
  <c r="F68" i="4"/>
  <c r="F63" i="4"/>
  <c r="E84" i="4"/>
  <c r="G86" i="4"/>
  <c r="G84" i="4"/>
  <c r="F84" i="4"/>
  <c r="F62" i="4"/>
  <c r="D84" i="4" l="1"/>
  <c r="C84" i="4"/>
  <c r="G77" i="4" l="1"/>
  <c r="H77" i="4" s="1"/>
  <c r="G74" i="4"/>
  <c r="H74" i="4" s="1"/>
  <c r="C214" i="4"/>
  <c r="G61" i="4"/>
  <c r="H61" i="4" s="1"/>
  <c r="G79" i="4"/>
  <c r="H79" i="4" s="1"/>
  <c r="G75" i="4"/>
  <c r="H75" i="4" s="1"/>
  <c r="C200" i="4"/>
  <c r="C201" i="4"/>
  <c r="C211" i="4"/>
  <c r="C210" i="4"/>
  <c r="C207" i="4"/>
  <c r="G80" i="4"/>
  <c r="H80" i="4" s="1"/>
  <c r="I80" i="4" s="1"/>
  <c r="G65" i="4"/>
  <c r="H65" i="4" s="1"/>
  <c r="C209" i="4"/>
  <c r="G72" i="4"/>
  <c r="H72" i="4" s="1"/>
  <c r="G76" i="4"/>
  <c r="H76" i="4" s="1"/>
  <c r="I76" i="4" s="1"/>
  <c r="C199" i="4"/>
  <c r="C196" i="4"/>
  <c r="G63" i="4"/>
  <c r="H63" i="4" s="1"/>
  <c r="C198" i="4"/>
  <c r="G70" i="4"/>
  <c r="H70" i="4" s="1"/>
  <c r="G66" i="4"/>
  <c r="H66" i="4" s="1"/>
  <c r="C203" i="4"/>
  <c r="G68" i="4"/>
  <c r="H68" i="4" s="1"/>
  <c r="C197" i="4"/>
  <c r="C208" i="4"/>
  <c r="C213" i="4"/>
  <c r="C206" i="4"/>
  <c r="G71" i="4"/>
  <c r="H71" i="4" s="1"/>
  <c r="G69" i="4"/>
  <c r="H69" i="4" s="1"/>
  <c r="C212" i="4"/>
  <c r="G67" i="4"/>
  <c r="H67" i="4" s="1"/>
  <c r="G73" i="4"/>
  <c r="H73" i="4" s="1"/>
  <c r="C195" i="4"/>
  <c r="C202" i="4"/>
  <c r="G78" i="4"/>
  <c r="H78" i="4" s="1"/>
  <c r="C205" i="4"/>
  <c r="G64" i="4"/>
  <c r="H64" i="4" s="1"/>
  <c r="C204" i="4"/>
  <c r="G62" i="4"/>
  <c r="H62" i="4" s="1"/>
  <c r="I77" i="4" l="1"/>
  <c r="I79" i="4"/>
  <c r="I78" i="4"/>
  <c r="I66" i="4"/>
  <c r="I65" i="4"/>
  <c r="I74" i="4"/>
  <c r="I71" i="4"/>
  <c r="I69" i="4"/>
  <c r="I73" i="4"/>
  <c r="I64" i="4"/>
  <c r="I63" i="4"/>
  <c r="I61" i="4"/>
  <c r="I67" i="4"/>
  <c r="I62" i="4"/>
  <c r="I72" i="4"/>
  <c r="I75" i="4"/>
  <c r="I68" i="4"/>
  <c r="I70" i="4"/>
  <c r="F86" i="4" l="1"/>
  <c r="C86" i="4"/>
  <c r="D86" i="4"/>
  <c r="E86" i="4"/>
  <c r="H86" i="4" l="1"/>
  <c r="D87" i="4" s="1"/>
  <c r="D89" i="4" s="1"/>
  <c r="F87" i="4" l="1"/>
  <c r="F89" i="4" s="1"/>
  <c r="C87" i="4"/>
  <c r="C89" i="4" s="1"/>
  <c r="G87" i="4"/>
  <c r="G89" i="4" s="1"/>
  <c r="E87" i="4"/>
  <c r="E89" i="4" s="1"/>
  <c r="J76" i="4" l="1"/>
  <c r="K76" i="4" s="1"/>
  <c r="J68" i="4"/>
  <c r="J66" i="4"/>
  <c r="J62" i="4"/>
  <c r="J71" i="4"/>
  <c r="J78" i="4"/>
  <c r="K78" i="4" s="1"/>
  <c r="J70" i="4"/>
  <c r="J63" i="4"/>
  <c r="J80" i="4"/>
  <c r="K80" i="4" s="1"/>
  <c r="J61" i="4"/>
  <c r="K61" i="4" s="1"/>
  <c r="J67" i="4"/>
  <c r="J79" i="4"/>
  <c r="K79" i="4" s="1"/>
  <c r="J65" i="4"/>
  <c r="J77" i="4"/>
  <c r="K77" i="4" s="1"/>
  <c r="J73" i="4"/>
  <c r="K73" i="4" s="1"/>
  <c r="J64" i="4"/>
  <c r="K64" i="4" s="1"/>
  <c r="J74" i="4"/>
  <c r="K74" i="4" s="1"/>
  <c r="J72" i="4"/>
  <c r="K72" i="4" s="1"/>
  <c r="J75" i="4"/>
  <c r="K75" i="4" s="1"/>
  <c r="J69" i="4"/>
  <c r="K70" i="4" l="1"/>
  <c r="K65" i="4"/>
  <c r="K62" i="4"/>
  <c r="K71" i="4"/>
  <c r="K69" i="4"/>
  <c r="K67" i="4"/>
  <c r="K68" i="4"/>
  <c r="K66" i="4"/>
  <c r="B97" i="4"/>
  <c r="B95" i="4"/>
  <c r="K63" i="4"/>
  <c r="B93" i="4"/>
  <c r="B96" i="4"/>
  <c r="B94" i="4"/>
  <c r="B91" i="4"/>
  <c r="B92" i="4"/>
  <c r="B98" i="4"/>
  <c r="C93" i="4" l="1"/>
  <c r="C92" i="4"/>
  <c r="C96" i="4"/>
  <c r="C95" i="4"/>
  <c r="C91" i="4"/>
  <c r="D91" i="4" s="1"/>
  <c r="C94" i="4"/>
  <c r="C97" i="4"/>
  <c r="C98" i="4"/>
  <c r="D97" i="4" l="1"/>
  <c r="D94" i="4"/>
  <c r="D98" i="4"/>
  <c r="D95" i="4"/>
  <c r="D96" i="4"/>
  <c r="D93" i="4"/>
  <c r="D92" i="4"/>
  <c r="C90" i="4"/>
  <c r="B111" i="4" l="1"/>
  <c r="C111" i="4" s="1"/>
  <c r="J111" i="4" s="1"/>
  <c r="B100" i="4"/>
  <c r="B108" i="4"/>
  <c r="C108" i="4" s="1"/>
  <c r="J108" i="4" s="1"/>
  <c r="B102" i="4"/>
  <c r="B105" i="4"/>
  <c r="B107" i="4"/>
  <c r="C107" i="4" s="1"/>
  <c r="B109" i="4"/>
  <c r="C109" i="4" s="1"/>
  <c r="J109" i="4" s="1"/>
  <c r="B114" i="4"/>
  <c r="C114" i="4" s="1"/>
  <c r="J114" i="4" s="1"/>
  <c r="B110" i="4"/>
  <c r="C110" i="4" s="1"/>
  <c r="J110" i="4" s="1"/>
  <c r="B113" i="4"/>
  <c r="C113" i="4" s="1"/>
  <c r="J113" i="4" s="1"/>
  <c r="B101" i="4"/>
  <c r="B106" i="4"/>
  <c r="C106" i="4" s="1"/>
  <c r="B103" i="4"/>
  <c r="B104" i="4"/>
  <c r="B112" i="4"/>
  <c r="C112" i="4" s="1"/>
  <c r="J112" i="4" s="1"/>
  <c r="C105" i="4" l="1"/>
  <c r="C104" i="4" s="1"/>
  <c r="C103" i="4" s="1"/>
  <c r="C102" i="4" s="1"/>
  <c r="C101" i="4" s="1"/>
  <c r="C100" i="4" l="1"/>
  <c r="D100" i="4" s="1"/>
  <c r="D101" i="4" l="1"/>
  <c r="D102" i="4" s="1"/>
  <c r="D103" i="4" s="1"/>
  <c r="D104" i="4" l="1"/>
  <c r="D105" i="4" s="1"/>
  <c r="D106" i="4" s="1"/>
  <c r="D107" i="4" s="1"/>
  <c r="D108" i="4" l="1"/>
  <c r="D109" i="4" s="1"/>
  <c r="D110" i="4" s="1"/>
  <c r="D111" i="4" s="1"/>
  <c r="D112" i="4" s="1"/>
  <c r="D113" i="4" s="1"/>
  <c r="D114" i="4" s="1"/>
  <c r="D116" i="4" s="1"/>
  <c r="Z1" i="2" s="1"/>
  <c r="Z10" i="2" l="1"/>
  <c r="Z2" i="2"/>
  <c r="Z6" i="2"/>
  <c r="Z4" i="2"/>
  <c r="Z17" i="2"/>
  <c r="Z9" i="2"/>
  <c r="Z14" i="2"/>
  <c r="Z16" i="2"/>
  <c r="Z8" i="2"/>
  <c r="Z5" i="2"/>
  <c r="Z12" i="2"/>
  <c r="Z3" i="2"/>
  <c r="Z15" i="2"/>
  <c r="Z7" i="2"/>
  <c r="Z13" i="2"/>
  <c r="Z11" i="2"/>
  <c r="D115" i="4"/>
  <c r="E100" i="4" s="1"/>
  <c r="F100" i="4" s="1"/>
  <c r="E101" i="4" l="1"/>
  <c r="F101" i="4" s="1"/>
  <c r="G101" i="4" s="1"/>
  <c r="H101" i="4" s="1"/>
  <c r="B120" i="4" s="1"/>
  <c r="G100" i="4"/>
  <c r="H100" i="4" s="1"/>
  <c r="E102" i="4" l="1"/>
  <c r="E103" i="4" s="1"/>
  <c r="F103" i="4" s="1"/>
  <c r="B119" i="4"/>
  <c r="D119" i="4" s="1"/>
  <c r="D120" i="4" s="1"/>
  <c r="E104" i="4" l="1"/>
  <c r="F104" i="4" s="1"/>
  <c r="F102" i="4"/>
  <c r="G102" i="4" s="1"/>
  <c r="H102" i="4" s="1"/>
  <c r="G103" i="4"/>
  <c r="H103" i="4" s="1"/>
  <c r="B122" i="4" s="1"/>
  <c r="E105" i="4" l="1"/>
  <c r="F105" i="4" s="1"/>
  <c r="G105" i="4" s="1"/>
  <c r="H105" i="4" s="1"/>
  <c r="B124" i="4" s="1"/>
  <c r="B121" i="4"/>
  <c r="D121" i="4" s="1"/>
  <c r="D122" i="4" s="1"/>
  <c r="G104" i="4"/>
  <c r="H104" i="4" s="1"/>
  <c r="B123" i="4" s="1"/>
  <c r="E106" i="4" l="1"/>
  <c r="E107" i="4" s="1"/>
  <c r="F107" i="4" s="1"/>
  <c r="G107" i="4" s="1"/>
  <c r="H107" i="4" s="1"/>
  <c r="B126" i="4" s="1"/>
  <c r="D123" i="4"/>
  <c r="D124" i="4" s="1"/>
  <c r="F106" i="4" l="1"/>
  <c r="G106" i="4" s="1"/>
  <c r="H106" i="4" s="1"/>
  <c r="E108" i="4"/>
  <c r="F108" i="4" s="1"/>
  <c r="G108" i="4" s="1"/>
  <c r="H108" i="4" s="1"/>
  <c r="B127" i="4" s="1"/>
  <c r="E109" i="4" l="1"/>
  <c r="F109" i="4" s="1"/>
  <c r="G109" i="4" s="1"/>
  <c r="H109" i="4" s="1"/>
  <c r="B128" i="4" s="1"/>
  <c r="B125" i="4"/>
  <c r="D125" i="4" s="1"/>
  <c r="D126" i="4" s="1"/>
  <c r="E110" i="4" l="1"/>
  <c r="F110" i="4" s="1"/>
  <c r="G110" i="4" s="1"/>
  <c r="H110" i="4" s="1"/>
  <c r="B129" i="4" s="1"/>
  <c r="D127" i="4"/>
  <c r="D128" i="4" s="1"/>
  <c r="E111" i="4" l="1"/>
  <c r="F111" i="4" s="1"/>
  <c r="G111" i="4" s="1"/>
  <c r="H111" i="4" s="1"/>
  <c r="B130" i="4" s="1"/>
  <c r="D129" i="4"/>
  <c r="D130" i="4" l="1"/>
  <c r="E112" i="4"/>
  <c r="F112" i="4" s="1"/>
  <c r="G112" i="4" s="1"/>
  <c r="H112" i="4" s="1"/>
  <c r="B131" i="4" s="1"/>
  <c r="D131" i="4" l="1"/>
  <c r="E113" i="4"/>
  <c r="F113" i="4" s="1"/>
  <c r="G113" i="4" s="1"/>
  <c r="H113" i="4" s="1"/>
  <c r="B132" i="4" s="1"/>
  <c r="D132" i="4" l="1"/>
  <c r="E114" i="4"/>
  <c r="E116" i="4" s="1"/>
  <c r="F114" i="4" l="1"/>
  <c r="G114" i="4" s="1"/>
  <c r="H114" i="4" s="1"/>
  <c r="J104" i="4"/>
  <c r="J107" i="4"/>
  <c r="J105" i="4"/>
  <c r="J106" i="4"/>
  <c r="J100" i="4" l="1"/>
  <c r="J101" i="4"/>
  <c r="J103" i="4"/>
  <c r="J102" i="4"/>
  <c r="B133" i="4"/>
  <c r="D133" i="4" s="1"/>
  <c r="D134" i="4" s="1"/>
  <c r="D135" i="4" l="1"/>
  <c r="E119" i="4" l="1"/>
  <c r="E120" i="4" s="1"/>
  <c r="F120" i="4" s="1"/>
  <c r="G120" i="4" s="1"/>
  <c r="H120" i="4" s="1"/>
  <c r="B139" i="4" s="1"/>
  <c r="AN1" i="2"/>
  <c r="AN9" i="2" l="1"/>
  <c r="AN10" i="2"/>
  <c r="AN8" i="2"/>
  <c r="AN7" i="2"/>
  <c r="AN17" i="2"/>
  <c r="AN6" i="2"/>
  <c r="AN16" i="2"/>
  <c r="AN5" i="2"/>
  <c r="AN15" i="2"/>
  <c r="AN4" i="2"/>
  <c r="AN14" i="2"/>
  <c r="AN11" i="2"/>
  <c r="AN3" i="2"/>
  <c r="AN13" i="2"/>
  <c r="AN2" i="2"/>
  <c r="AN12" i="2"/>
  <c r="F119" i="4"/>
  <c r="G119" i="4" s="1"/>
  <c r="H119" i="4" s="1"/>
  <c r="B138" i="4" s="1"/>
  <c r="D138" i="4" s="1"/>
  <c r="D139" i="4" s="1"/>
  <c r="E121" i="4"/>
  <c r="F121" i="4" s="1"/>
  <c r="G121" i="4" s="1"/>
  <c r="H121" i="4" s="1"/>
  <c r="B140" i="4" s="1"/>
  <c r="D140" i="4" l="1"/>
  <c r="E122" i="4"/>
  <c r="F122" i="4" s="1"/>
  <c r="G122" i="4" s="1"/>
  <c r="H122" i="4" s="1"/>
  <c r="B141" i="4" s="1"/>
  <c r="D141" i="4" l="1"/>
  <c r="E123" i="4"/>
  <c r="F123" i="4" s="1"/>
  <c r="G123" i="4" s="1"/>
  <c r="H123" i="4" s="1"/>
  <c r="B142" i="4" s="1"/>
  <c r="D142" i="4" s="1"/>
  <c r="E124" i="4" l="1"/>
  <c r="F124" i="4" s="1"/>
  <c r="G124" i="4" s="1"/>
  <c r="H124" i="4" s="1"/>
  <c r="B143" i="4" s="1"/>
  <c r="D143" i="4" s="1"/>
  <c r="E125" i="4" l="1"/>
  <c r="F125" i="4" s="1"/>
  <c r="G125" i="4" s="1"/>
  <c r="H125" i="4" s="1"/>
  <c r="B144" i="4" s="1"/>
  <c r="D144" i="4" s="1"/>
  <c r="E126" i="4" l="1"/>
  <c r="F126" i="4" s="1"/>
  <c r="G126" i="4" s="1"/>
  <c r="H126" i="4" s="1"/>
  <c r="B145" i="4" s="1"/>
  <c r="D145" i="4" s="1"/>
  <c r="E127" i="4" l="1"/>
  <c r="E128" i="4" s="1"/>
  <c r="E129" i="4" s="1"/>
  <c r="F129" i="4" s="1"/>
  <c r="G129" i="4" s="1"/>
  <c r="H129" i="4" s="1"/>
  <c r="B148" i="4" s="1"/>
  <c r="E130" i="4" l="1"/>
  <c r="F130" i="4" s="1"/>
  <c r="G130" i="4" s="1"/>
  <c r="H130" i="4" s="1"/>
  <c r="B149" i="4" s="1"/>
  <c r="F127" i="4"/>
  <c r="G127" i="4" s="1"/>
  <c r="H127" i="4" s="1"/>
  <c r="B146" i="4" s="1"/>
  <c r="D146" i="4" s="1"/>
  <c r="F128" i="4"/>
  <c r="G128" i="4" s="1"/>
  <c r="H128" i="4" s="1"/>
  <c r="B147" i="4" s="1"/>
  <c r="D147" i="4" l="1"/>
  <c r="D148" i="4" s="1"/>
  <c r="E131" i="4"/>
  <c r="F131" i="4" s="1"/>
  <c r="G131" i="4" s="1"/>
  <c r="H131" i="4" s="1"/>
  <c r="B150" i="4" s="1"/>
  <c r="D149" i="4" l="1"/>
  <c r="D150" i="4" s="1"/>
  <c r="E132" i="4"/>
  <c r="E133" i="4" s="1"/>
  <c r="F133" i="4" s="1"/>
  <c r="G133" i="4" s="1"/>
  <c r="H133" i="4" s="1"/>
  <c r="E135" i="4" l="1"/>
  <c r="F132" i="4"/>
  <c r="J120" i="4" s="1"/>
  <c r="J138" i="4"/>
  <c r="J148" i="4"/>
  <c r="J124" i="4"/>
  <c r="J150" i="4"/>
  <c r="B152" i="4"/>
  <c r="J122" i="4" l="1"/>
  <c r="J132" i="4"/>
  <c r="J121" i="4"/>
  <c r="J133" i="4"/>
  <c r="J119" i="4"/>
  <c r="J149" i="4"/>
  <c r="J147" i="4"/>
  <c r="J143" i="4"/>
  <c r="J125" i="4"/>
  <c r="J126" i="4"/>
  <c r="G132" i="4"/>
  <c r="H132" i="4" s="1"/>
  <c r="B151" i="4" s="1"/>
  <c r="J144" i="4"/>
  <c r="J130" i="4"/>
  <c r="J145" i="4"/>
  <c r="J139" i="4"/>
  <c r="J128" i="4"/>
  <c r="J123" i="4"/>
  <c r="J141" i="4"/>
  <c r="J142" i="4"/>
  <c r="J140" i="4"/>
  <c r="J131" i="4"/>
  <c r="J129" i="4"/>
  <c r="J146" i="4"/>
  <c r="J127" i="4"/>
  <c r="J152" i="4"/>
  <c r="J151" i="4" l="1"/>
  <c r="D151" i="4"/>
  <c r="D152" i="4" l="1"/>
  <c r="D154" i="4" s="1"/>
  <c r="E138" i="4" s="1"/>
  <c r="D153" i="4" l="1"/>
  <c r="E139" i="4"/>
  <c r="F138" i="4"/>
  <c r="G138" i="4" s="1"/>
  <c r="H138" i="4" s="1"/>
  <c r="B157" i="4" s="1"/>
  <c r="D157" i="4" s="1"/>
  <c r="J157" i="4" l="1"/>
  <c r="E140" i="4"/>
  <c r="F139" i="4"/>
  <c r="G139" i="4" s="1"/>
  <c r="H139" i="4" s="1"/>
  <c r="B158" i="4" s="1"/>
  <c r="J158" i="4" l="1"/>
  <c r="D158" i="4"/>
  <c r="F140" i="4"/>
  <c r="G140" i="4" s="1"/>
  <c r="H140" i="4" s="1"/>
  <c r="B159" i="4" s="1"/>
  <c r="J159" i="4" s="1"/>
  <c r="E141" i="4"/>
  <c r="D159" i="4" l="1"/>
  <c r="F141" i="4"/>
  <c r="G141" i="4" s="1"/>
  <c r="H141" i="4" s="1"/>
  <c r="B160" i="4" s="1"/>
  <c r="J160" i="4" s="1"/>
  <c r="E142" i="4"/>
  <c r="E143" i="4" l="1"/>
  <c r="F143" i="4" s="1"/>
  <c r="G143" i="4" s="1"/>
  <c r="H143" i="4" s="1"/>
  <c r="B162" i="4" s="1"/>
  <c r="J162" i="4" s="1"/>
  <c r="F142" i="4"/>
  <c r="G142" i="4" s="1"/>
  <c r="H142" i="4" s="1"/>
  <c r="B161" i="4" s="1"/>
  <c r="J161" i="4" s="1"/>
  <c r="D160" i="4"/>
  <c r="D161" i="4" l="1"/>
  <c r="D162" i="4" s="1"/>
  <c r="E144" i="4"/>
  <c r="E145" i="4" l="1"/>
  <c r="F144" i="4"/>
  <c r="G144" i="4" s="1"/>
  <c r="H144" i="4" s="1"/>
  <c r="B163" i="4" s="1"/>
  <c r="J163" i="4" s="1"/>
  <c r="D163" i="4" l="1"/>
  <c r="E146" i="4"/>
  <c r="F145" i="4"/>
  <c r="G145" i="4" s="1"/>
  <c r="H145" i="4" s="1"/>
  <c r="B164" i="4" s="1"/>
  <c r="J164" i="4" s="1"/>
  <c r="F146" i="4" l="1"/>
  <c r="G146" i="4" s="1"/>
  <c r="H146" i="4" s="1"/>
  <c r="B165" i="4" s="1"/>
  <c r="J165" i="4" s="1"/>
  <c r="E147" i="4"/>
  <c r="F147" i="4" s="1"/>
  <c r="G147" i="4" s="1"/>
  <c r="H147" i="4" s="1"/>
  <c r="B166" i="4" s="1"/>
  <c r="J166" i="4" s="1"/>
  <c r="D164" i="4"/>
  <c r="D165" i="4" l="1"/>
  <c r="D166" i="4" s="1"/>
  <c r="E148" i="4"/>
  <c r="F148" i="4" s="1"/>
  <c r="G148" i="4" s="1"/>
  <c r="H148" i="4" s="1"/>
  <c r="B167" i="4" s="1"/>
  <c r="J167" i="4" s="1"/>
  <c r="D167" i="4" l="1"/>
  <c r="E149" i="4"/>
  <c r="F149" i="4" s="1"/>
  <c r="G149" i="4" s="1"/>
  <c r="H149" i="4" s="1"/>
  <c r="B168" i="4" s="1"/>
  <c r="J168" i="4" s="1"/>
  <c r="E150" i="4" l="1"/>
  <c r="D168" i="4"/>
  <c r="F150" i="4" l="1"/>
  <c r="G150" i="4" s="1"/>
  <c r="H150" i="4" s="1"/>
  <c r="B169" i="4" s="1"/>
  <c r="E151" i="4"/>
  <c r="F151" i="4" l="1"/>
  <c r="G151" i="4" s="1"/>
  <c r="H151" i="4" s="1"/>
  <c r="B170" i="4" s="1"/>
  <c r="J170" i="4" s="1"/>
  <c r="E152" i="4"/>
  <c r="F152" i="4" s="1"/>
  <c r="G152" i="4" s="1"/>
  <c r="H152" i="4" s="1"/>
  <c r="B171" i="4" s="1"/>
  <c r="J171" i="4" s="1"/>
  <c r="J169" i="4"/>
  <c r="D169" i="4"/>
  <c r="D170" i="4" l="1"/>
  <c r="D171" i="4" s="1"/>
  <c r="E154" i="4"/>
  <c r="D173" i="4" l="1"/>
  <c r="E157" i="4" s="1"/>
  <c r="E158" i="4" s="1"/>
  <c r="D172" i="4"/>
  <c r="F157" i="4" l="1"/>
  <c r="G157" i="4" s="1"/>
  <c r="H157" i="4" s="1"/>
  <c r="B176" i="4" s="1"/>
  <c r="D176" i="4" s="1"/>
  <c r="F158" i="4"/>
  <c r="G158" i="4" s="1"/>
  <c r="H158" i="4" s="1"/>
  <c r="B177" i="4" s="1"/>
  <c r="E159" i="4"/>
  <c r="F159" i="4" s="1"/>
  <c r="G159" i="4" s="1"/>
  <c r="H159" i="4" s="1"/>
  <c r="B178" i="4" s="1"/>
  <c r="D177" i="4" l="1"/>
  <c r="D178" i="4" s="1"/>
  <c r="E160" i="4"/>
  <c r="F160" i="4" l="1"/>
  <c r="G160" i="4" s="1"/>
  <c r="H160" i="4" s="1"/>
  <c r="E161" i="4"/>
  <c r="F161" i="4" s="1"/>
  <c r="G161" i="4" s="1"/>
  <c r="H161" i="4" s="1"/>
  <c r="B180" i="4" s="1"/>
  <c r="B179" i="4" l="1"/>
  <c r="D179" i="4" s="1"/>
  <c r="E162" i="4"/>
  <c r="F162" i="4" s="1"/>
  <c r="G162" i="4" s="1"/>
  <c r="H162" i="4" s="1"/>
  <c r="B181" i="4" s="1"/>
  <c r="D180" i="4" l="1"/>
  <c r="D181" i="4" s="1"/>
  <c r="E163" i="4"/>
  <c r="F163" i="4" s="1"/>
  <c r="G163" i="4" s="1"/>
  <c r="H163" i="4" s="1"/>
  <c r="B182" i="4" s="1"/>
  <c r="D182" i="4" l="1"/>
  <c r="E164" i="4"/>
  <c r="F164" i="4" s="1"/>
  <c r="G164" i="4" s="1"/>
  <c r="H164" i="4" s="1"/>
  <c r="B183" i="4" s="1"/>
  <c r="D183" i="4" s="1"/>
  <c r="E165" i="4" l="1"/>
  <c r="F165" i="4" s="1"/>
  <c r="G165" i="4" s="1"/>
  <c r="H165" i="4" s="1"/>
  <c r="B184" i="4" s="1"/>
  <c r="D184" i="4" s="1"/>
  <c r="E166" i="4" l="1"/>
  <c r="F166" i="4" s="1"/>
  <c r="G166" i="4" s="1"/>
  <c r="H166" i="4" s="1"/>
  <c r="B185" i="4" s="1"/>
  <c r="D185" i="4" s="1"/>
  <c r="E167" i="4" l="1"/>
  <c r="F167" i="4" s="1"/>
  <c r="G167" i="4" s="1"/>
  <c r="H167" i="4" s="1"/>
  <c r="B186" i="4" s="1"/>
  <c r="D186" i="4" s="1"/>
  <c r="E168" i="4" l="1"/>
  <c r="F168" i="4" s="1"/>
  <c r="G168" i="4" s="1"/>
  <c r="H168" i="4" s="1"/>
  <c r="B187" i="4" s="1"/>
  <c r="D187" i="4" s="1"/>
  <c r="E169" i="4" l="1"/>
  <c r="F169" i="4" s="1"/>
  <c r="G169" i="4" s="1"/>
  <c r="H169" i="4" s="1"/>
  <c r="B188" i="4" s="1"/>
  <c r="D188" i="4" s="1"/>
  <c r="E170" i="4" l="1"/>
  <c r="F170" i="4" s="1"/>
  <c r="G170" i="4" s="1"/>
  <c r="H170" i="4" s="1"/>
  <c r="B189" i="4" s="1"/>
  <c r="D189" i="4" s="1"/>
  <c r="E171" i="4" l="1"/>
  <c r="E173" i="4" s="1"/>
  <c r="F171" i="4" l="1"/>
  <c r="G171" i="4" s="1"/>
  <c r="H171" i="4" s="1"/>
  <c r="B190" i="4" s="1"/>
  <c r="D190" i="4" s="1"/>
  <c r="D192" i="4" l="1"/>
  <c r="E176" i="4" s="1"/>
  <c r="D191" i="4"/>
  <c r="E177" i="4" l="1"/>
  <c r="F176" i="4"/>
  <c r="G176" i="4" s="1"/>
  <c r="H176" i="4" s="1"/>
  <c r="E178" i="4" l="1"/>
  <c r="F177" i="4"/>
  <c r="G177" i="4" s="1"/>
  <c r="H177" i="4" s="1"/>
  <c r="F178" i="4" l="1"/>
  <c r="G178" i="4" s="1"/>
  <c r="H178" i="4" s="1"/>
  <c r="E179" i="4"/>
  <c r="F179" i="4" l="1"/>
  <c r="G179" i="4" s="1"/>
  <c r="H179" i="4" s="1"/>
  <c r="E180" i="4"/>
  <c r="F180" i="4" s="1"/>
  <c r="G180" i="4" s="1"/>
  <c r="H180" i="4" s="1"/>
  <c r="E181" i="4" l="1"/>
  <c r="F181" i="4" s="1"/>
  <c r="G181" i="4" s="1"/>
  <c r="H181" i="4" s="1"/>
  <c r="E182" i="4" l="1"/>
  <c r="F182" i="4" s="1"/>
  <c r="G182" i="4" s="1"/>
  <c r="H182" i="4" s="1"/>
  <c r="E183" i="4" l="1"/>
  <c r="F183" i="4" s="1"/>
  <c r="G183" i="4" s="1"/>
  <c r="H183" i="4" s="1"/>
  <c r="E184" i="4" l="1"/>
  <c r="E185" i="4" l="1"/>
  <c r="F185" i="4" s="1"/>
  <c r="G185" i="4" s="1"/>
  <c r="H185" i="4" s="1"/>
  <c r="F184" i="4"/>
  <c r="G184" i="4" s="1"/>
  <c r="H184" i="4" s="1"/>
  <c r="E186" i="4" l="1"/>
  <c r="F186" i="4" s="1"/>
  <c r="G186" i="4" s="1"/>
  <c r="H186" i="4" s="1"/>
  <c r="E187" i="4" l="1"/>
  <c r="F187" i="4" s="1"/>
  <c r="G187" i="4" s="1"/>
  <c r="H187" i="4" s="1"/>
  <c r="E188" i="4" l="1"/>
  <c r="F188" i="4" s="1"/>
  <c r="G188" i="4" s="1"/>
  <c r="H188" i="4" s="1"/>
  <c r="E189" i="4" l="1"/>
  <c r="F189" i="4" s="1"/>
  <c r="G189" i="4" s="1"/>
  <c r="H189" i="4" s="1"/>
  <c r="AT129" i="4"/>
  <c r="N137" i="6" s="1"/>
  <c r="AT128" i="4"/>
  <c r="N136" i="6" s="1"/>
  <c r="AT125" i="4"/>
  <c r="N133" i="6" s="1"/>
  <c r="AT126" i="4"/>
  <c r="N134" i="6" s="1"/>
  <c r="AT124" i="4"/>
  <c r="N132" i="6" s="1"/>
  <c r="AT127" i="4"/>
  <c r="N135" i="6" s="1"/>
  <c r="V135" i="6" s="1"/>
  <c r="E190" i="4" l="1"/>
  <c r="E192" i="4" s="1"/>
  <c r="AT116" i="4"/>
  <c r="N124" i="6" s="1"/>
  <c r="AT118" i="4"/>
  <c r="N126" i="6" s="1"/>
  <c r="AT120" i="4"/>
  <c r="N128" i="6" s="1"/>
  <c r="AT121" i="4"/>
  <c r="N129" i="6" s="1"/>
  <c r="AT117" i="4"/>
  <c r="N125" i="6" s="1"/>
  <c r="AT119" i="4"/>
  <c r="N127" i="6" s="1"/>
  <c r="AT122" i="4"/>
  <c r="N130" i="6" s="1"/>
  <c r="AT137" i="4"/>
  <c r="N145" i="6" s="1"/>
  <c r="AT138" i="4"/>
  <c r="N146" i="6" s="1"/>
  <c r="AT131" i="4"/>
  <c r="N139" i="6" s="1"/>
  <c r="AT132" i="4"/>
  <c r="N140" i="6" s="1"/>
  <c r="AT136" i="4"/>
  <c r="N144" i="6" s="1"/>
  <c r="AT133" i="4"/>
  <c r="N141" i="6" s="1"/>
  <c r="AT130" i="4"/>
  <c r="N138" i="6" s="1"/>
  <c r="AT134" i="4"/>
  <c r="N142" i="6" s="1"/>
  <c r="AT135" i="4"/>
  <c r="N143" i="6" s="1"/>
  <c r="P132" i="6"/>
  <c r="Q132" i="6" s="1"/>
  <c r="V132" i="6"/>
  <c r="AT123" i="4"/>
  <c r="N131" i="6" s="1"/>
  <c r="AT110" i="4"/>
  <c r="N118" i="6" s="1"/>
  <c r="AT111" i="4"/>
  <c r="N119" i="6" s="1"/>
  <c r="AT112" i="4"/>
  <c r="N120" i="6" s="1"/>
  <c r="AT114" i="4"/>
  <c r="N122" i="6" s="1"/>
  <c r="AT113" i="4"/>
  <c r="N121" i="6" s="1"/>
  <c r="AT115" i="4"/>
  <c r="N123" i="6" s="1"/>
  <c r="P134" i="6"/>
  <c r="Q134" i="6" s="1"/>
  <c r="V134" i="6"/>
  <c r="W135" i="6" s="1"/>
  <c r="P133" i="6"/>
  <c r="Q133" i="6" s="1"/>
  <c r="V133" i="6"/>
  <c r="V136" i="6"/>
  <c r="W136" i="6" s="1"/>
  <c r="P136" i="6"/>
  <c r="Q136" i="6" s="1"/>
  <c r="P137" i="6"/>
  <c r="Q137" i="6" s="1"/>
  <c r="V137" i="6"/>
  <c r="P135" i="6"/>
  <c r="Q135" i="6" s="1"/>
  <c r="F190" i="4" l="1"/>
  <c r="G190" i="4" s="1"/>
  <c r="H190" i="4" s="1"/>
  <c r="B197" i="4" s="1"/>
  <c r="W133" i="6"/>
  <c r="V143" i="6"/>
  <c r="P143" i="6"/>
  <c r="Q143" i="6" s="1"/>
  <c r="V145" i="6"/>
  <c r="P145" i="6"/>
  <c r="Q145" i="6" s="1"/>
  <c r="V120" i="6"/>
  <c r="P120" i="6"/>
  <c r="Q120" i="6" s="1"/>
  <c r="P119" i="6"/>
  <c r="Q119" i="6" s="1"/>
  <c r="V119" i="6"/>
  <c r="V142" i="6"/>
  <c r="P142" i="6"/>
  <c r="Q142" i="6" s="1"/>
  <c r="P130" i="6"/>
  <c r="Q130" i="6" s="1"/>
  <c r="V130" i="6"/>
  <c r="P118" i="6"/>
  <c r="Q118" i="6" s="1"/>
  <c r="V118" i="6"/>
  <c r="V138" i="6"/>
  <c r="W138" i="6" s="1"/>
  <c r="P138" i="6"/>
  <c r="Q138" i="6" s="1"/>
  <c r="V127" i="6"/>
  <c r="P127" i="6"/>
  <c r="Q127" i="6" s="1"/>
  <c r="W134" i="6"/>
  <c r="V141" i="6"/>
  <c r="P141" i="6"/>
  <c r="Q141" i="6" s="1"/>
  <c r="V125" i="6"/>
  <c r="P125" i="6"/>
  <c r="Q125" i="6" s="1"/>
  <c r="W137" i="6"/>
  <c r="V131" i="6"/>
  <c r="P131" i="6"/>
  <c r="Q131" i="6" s="1"/>
  <c r="V144" i="6"/>
  <c r="P144" i="6"/>
  <c r="Q144" i="6" s="1"/>
  <c r="V129" i="6"/>
  <c r="P129" i="6"/>
  <c r="Q129" i="6" s="1"/>
  <c r="V123" i="6"/>
  <c r="P123" i="6"/>
  <c r="Q123" i="6" s="1"/>
  <c r="P140" i="6"/>
  <c r="Q140" i="6" s="1"/>
  <c r="V140" i="6"/>
  <c r="V128" i="6"/>
  <c r="P128" i="6"/>
  <c r="Q128" i="6" s="1"/>
  <c r="P121" i="6"/>
  <c r="Q121" i="6" s="1"/>
  <c r="V121" i="6"/>
  <c r="P139" i="6"/>
  <c r="Q139" i="6" s="1"/>
  <c r="V139" i="6"/>
  <c r="V126" i="6"/>
  <c r="P126" i="6"/>
  <c r="Q126" i="6" s="1"/>
  <c r="P122" i="6"/>
  <c r="Q122" i="6" s="1"/>
  <c r="V122" i="6"/>
  <c r="P146" i="6"/>
  <c r="Q146" i="6" s="1"/>
  <c r="V146" i="6"/>
  <c r="P124" i="6"/>
  <c r="Q124" i="6" s="1"/>
  <c r="V124" i="6"/>
  <c r="B206" i="4" l="1"/>
  <c r="I206" i="4" s="1"/>
  <c r="E229" i="4" s="1"/>
  <c r="B205" i="4"/>
  <c r="F205" i="4" s="1"/>
  <c r="B228" i="4" s="1"/>
  <c r="B196" i="4"/>
  <c r="F196" i="4" s="1"/>
  <c r="B203" i="4"/>
  <c r="G203" i="4" s="1"/>
  <c r="B199" i="4"/>
  <c r="H199" i="4" s="1"/>
  <c r="D222" i="4" s="1"/>
  <c r="B213" i="4"/>
  <c r="J213" i="4" s="1"/>
  <c r="F236" i="4" s="1"/>
  <c r="B209" i="4"/>
  <c r="J209" i="4" s="1"/>
  <c r="F232" i="4" s="1"/>
  <c r="B210" i="4"/>
  <c r="G210" i="4" s="1"/>
  <c r="C233" i="4" s="1"/>
  <c r="B202" i="4"/>
  <c r="G202" i="4" s="1"/>
  <c r="B207" i="4"/>
  <c r="J207" i="4" s="1"/>
  <c r="F230" i="4" s="1"/>
  <c r="B201" i="4"/>
  <c r="H201" i="4" s="1"/>
  <c r="D224" i="4" s="1"/>
  <c r="B195" i="4"/>
  <c r="I195" i="4" s="1"/>
  <c r="E218" i="4" s="1"/>
  <c r="B214" i="4"/>
  <c r="G214" i="4" s="1"/>
  <c r="C237" i="4" s="1"/>
  <c r="B208" i="4"/>
  <c r="F208" i="4" s="1"/>
  <c r="B231" i="4" s="1"/>
  <c r="B200" i="4"/>
  <c r="J200" i="4" s="1"/>
  <c r="F223" i="4" s="1"/>
  <c r="B211" i="4"/>
  <c r="F211" i="4" s="1"/>
  <c r="B234" i="4" s="1"/>
  <c r="B204" i="4"/>
  <c r="H204" i="4" s="1"/>
  <c r="D227" i="4" s="1"/>
  <c r="B198" i="4"/>
  <c r="H198" i="4" s="1"/>
  <c r="D221" i="4" s="1"/>
  <c r="B212" i="4"/>
  <c r="F212" i="4" s="1"/>
  <c r="B235" i="4" s="1"/>
  <c r="I197" i="4"/>
  <c r="E220" i="4" s="1"/>
  <c r="G197" i="4"/>
  <c r="F197" i="4"/>
  <c r="J197" i="4"/>
  <c r="F220" i="4" s="1"/>
  <c r="H197" i="4"/>
  <c r="D220" i="4" s="1"/>
  <c r="W126" i="6"/>
  <c r="W128" i="6"/>
  <c r="W144" i="6"/>
  <c r="W124" i="6"/>
  <c r="W121" i="6"/>
  <c r="W140" i="6"/>
  <c r="W120" i="6"/>
  <c r="W130" i="6"/>
  <c r="W139" i="6"/>
  <c r="W142" i="6"/>
  <c r="W132" i="6"/>
  <c r="W131" i="6"/>
  <c r="W123" i="6"/>
  <c r="W145" i="6"/>
  <c r="W125" i="6"/>
  <c r="W127" i="6"/>
  <c r="W129" i="6"/>
  <c r="W119" i="6"/>
  <c r="W143" i="6"/>
  <c r="W146" i="6"/>
  <c r="W147" i="6"/>
  <c r="W122" i="6"/>
  <c r="W141" i="6"/>
  <c r="X141" i="6" s="1"/>
  <c r="H203" i="4" l="1"/>
  <c r="D226" i="4" s="1"/>
  <c r="J203" i="4"/>
  <c r="F226" i="4" s="1"/>
  <c r="F203" i="4"/>
  <c r="I203" i="4"/>
  <c r="E226" i="4" s="1"/>
  <c r="F199" i="4"/>
  <c r="H213" i="4"/>
  <c r="D236" i="4" s="1"/>
  <c r="G213" i="4"/>
  <c r="C236" i="4" s="1"/>
  <c r="I213" i="4"/>
  <c r="E236" i="4" s="1"/>
  <c r="F213" i="4"/>
  <c r="B236" i="4" s="1"/>
  <c r="I208" i="4"/>
  <c r="E231" i="4" s="1"/>
  <c r="J208" i="4"/>
  <c r="F231" i="4" s="1"/>
  <c r="F195" i="4"/>
  <c r="G208" i="4"/>
  <c r="C231" i="4" s="1"/>
  <c r="G199" i="4"/>
  <c r="H205" i="4"/>
  <c r="D228" i="4" s="1"/>
  <c r="H195" i="4"/>
  <c r="D218" i="4" s="1"/>
  <c r="G205" i="4"/>
  <c r="C228" i="4" s="1"/>
  <c r="G195" i="4"/>
  <c r="J205" i="4"/>
  <c r="F228" i="4" s="1"/>
  <c r="G207" i="4"/>
  <c r="C230" i="4" s="1"/>
  <c r="J195" i="4"/>
  <c r="F218" i="4" s="1"/>
  <c r="H208" i="4"/>
  <c r="D231" i="4" s="1"/>
  <c r="F207" i="4"/>
  <c r="B230" i="4" s="1"/>
  <c r="I205" i="4"/>
  <c r="E228" i="4" s="1"/>
  <c r="J206" i="4"/>
  <c r="F229" i="4" s="1"/>
  <c r="G206" i="4"/>
  <c r="C229" i="4" s="1"/>
  <c r="H206" i="4"/>
  <c r="D229" i="4" s="1"/>
  <c r="F206" i="4"/>
  <c r="B229" i="4" s="1"/>
  <c r="H207" i="4"/>
  <c r="D230" i="4" s="1"/>
  <c r="I207" i="4"/>
  <c r="E230" i="4" s="1"/>
  <c r="G201" i="4"/>
  <c r="J201" i="4"/>
  <c r="F224" i="4" s="1"/>
  <c r="I201" i="4"/>
  <c r="E224" i="4" s="1"/>
  <c r="G196" i="4"/>
  <c r="H196" i="4"/>
  <c r="D219" i="4" s="1"/>
  <c r="I196" i="4"/>
  <c r="E219" i="4" s="1"/>
  <c r="J196" i="4"/>
  <c r="F219" i="4" s="1"/>
  <c r="F201" i="4"/>
  <c r="J212" i="4"/>
  <c r="F235" i="4" s="1"/>
  <c r="G212" i="4"/>
  <c r="C235" i="4" s="1"/>
  <c r="H212" i="4"/>
  <c r="D235" i="4" s="1"/>
  <c r="I214" i="4"/>
  <c r="E237" i="4" s="1"/>
  <c r="J199" i="4"/>
  <c r="F222" i="4" s="1"/>
  <c r="I199" i="4"/>
  <c r="E222" i="4" s="1"/>
  <c r="F214" i="4"/>
  <c r="B237" i="4" s="1"/>
  <c r="J214" i="4"/>
  <c r="F237" i="4" s="1"/>
  <c r="H214" i="4"/>
  <c r="D237" i="4" s="1"/>
  <c r="I212" i="4"/>
  <c r="E235" i="4" s="1"/>
  <c r="H202" i="4"/>
  <c r="D225" i="4" s="1"/>
  <c r="J202" i="4"/>
  <c r="F225" i="4" s="1"/>
  <c r="I202" i="4"/>
  <c r="E225" i="4" s="1"/>
  <c r="J204" i="4"/>
  <c r="F227" i="4" s="1"/>
  <c r="F202" i="4"/>
  <c r="J210" i="4"/>
  <c r="F233" i="4" s="1"/>
  <c r="H211" i="4"/>
  <c r="D234" i="4" s="1"/>
  <c r="H210" i="4"/>
  <c r="D233" i="4" s="1"/>
  <c r="H209" i="4"/>
  <c r="D232" i="4" s="1"/>
  <c r="I210" i="4"/>
  <c r="E233" i="4" s="1"/>
  <c r="F209" i="4"/>
  <c r="B232" i="4" s="1"/>
  <c r="F210" i="4"/>
  <c r="B233" i="4" s="1"/>
  <c r="G209" i="4"/>
  <c r="C232" i="4" s="1"/>
  <c r="I209" i="4"/>
  <c r="E232" i="4" s="1"/>
  <c r="G198" i="4"/>
  <c r="F198" i="4"/>
  <c r="I198" i="4"/>
  <c r="E221" i="4" s="1"/>
  <c r="J198" i="4"/>
  <c r="F221" i="4" s="1"/>
  <c r="E259" i="4"/>
  <c r="E260" i="4" s="1"/>
  <c r="D259" i="4"/>
  <c r="D260" i="4" s="1"/>
  <c r="G204" i="4"/>
  <c r="G200" i="4"/>
  <c r="F239" i="4"/>
  <c r="E239" i="4"/>
  <c r="C239" i="4"/>
  <c r="B239" i="4"/>
  <c r="G211" i="4"/>
  <c r="C234" i="4" s="1"/>
  <c r="F259" i="4"/>
  <c r="F260" i="4" s="1"/>
  <c r="I211" i="4"/>
  <c r="E234" i="4" s="1"/>
  <c r="H200" i="4"/>
  <c r="D223" i="4" s="1"/>
  <c r="F204" i="4"/>
  <c r="J211" i="4"/>
  <c r="F234" i="4" s="1"/>
  <c r="I200" i="4"/>
  <c r="E223" i="4" s="1"/>
  <c r="D239" i="4"/>
  <c r="I204" i="4"/>
  <c r="E227" i="4" s="1"/>
  <c r="F200" i="4"/>
  <c r="C259" i="4"/>
  <c r="C260" i="4" s="1"/>
  <c r="B259" i="4"/>
  <c r="B260" i="4" s="1"/>
  <c r="AE141" i="6"/>
  <c r="AF141" i="6" s="1"/>
  <c r="AB141" i="6"/>
  <c r="AA141" i="6"/>
  <c r="AD141" i="6"/>
  <c r="Z141" i="6"/>
  <c r="Y141" i="6"/>
  <c r="AC141" i="6"/>
  <c r="C226" i="4" l="1"/>
  <c r="B227" i="4"/>
  <c r="H236" i="4"/>
  <c r="I236" i="4" s="1"/>
  <c r="C227" i="4"/>
  <c r="C225" i="4"/>
  <c r="B223" i="4"/>
  <c r="H228" i="4"/>
  <c r="I228" i="4" s="1"/>
  <c r="H231" i="4"/>
  <c r="I231" i="4" s="1"/>
  <c r="H229" i="4"/>
  <c r="I229" i="4" s="1"/>
  <c r="H230" i="4"/>
  <c r="I230" i="4" s="1"/>
  <c r="C224" i="4"/>
  <c r="C223" i="4"/>
  <c r="B225" i="4"/>
  <c r="B226" i="4"/>
  <c r="B224" i="4"/>
  <c r="C219" i="4"/>
  <c r="C221" i="4"/>
  <c r="C218" i="4"/>
  <c r="C220" i="4"/>
  <c r="C222" i="4"/>
  <c r="B219" i="4"/>
  <c r="H233" i="4"/>
  <c r="I233" i="4" s="1"/>
  <c r="H235" i="4"/>
  <c r="I235" i="4" s="1"/>
  <c r="H237" i="4"/>
  <c r="I237" i="4" s="1"/>
  <c r="B218" i="4"/>
  <c r="H232" i="4"/>
  <c r="I232" i="4" s="1"/>
  <c r="B222" i="4"/>
  <c r="H234" i="4"/>
  <c r="I234" i="4" s="1"/>
  <c r="B220" i="4"/>
  <c r="B221" i="4"/>
  <c r="AG141" i="6"/>
  <c r="H227" i="4" l="1"/>
  <c r="I227" i="4" s="1"/>
  <c r="H226" i="4"/>
  <c r="I226" i="4" s="1"/>
  <c r="H225" i="4"/>
  <c r="I225" i="4" s="1"/>
  <c r="AT109" i="4" s="1"/>
  <c r="N117" i="6" s="1"/>
  <c r="AT101" i="4"/>
  <c r="N109" i="6" s="1"/>
  <c r="H224" i="4"/>
  <c r="I224" i="4" s="1"/>
  <c r="H221" i="4"/>
  <c r="I221" i="4" s="1"/>
  <c r="AT58" i="4" s="1"/>
  <c r="N66" i="6" s="1"/>
  <c r="P66" i="6" s="1"/>
  <c r="Q66" i="6" s="1"/>
  <c r="H219" i="4"/>
  <c r="I219" i="4" s="1"/>
  <c r="AT31" i="4" s="1"/>
  <c r="N39" i="6" s="1"/>
  <c r="H223" i="4"/>
  <c r="I223" i="4" s="1"/>
  <c r="AT91" i="4" s="1"/>
  <c r="N99" i="6" s="1"/>
  <c r="H218" i="4"/>
  <c r="I218" i="4" s="1"/>
  <c r="H222" i="4"/>
  <c r="I222" i="4" s="1"/>
  <c r="H220" i="4"/>
  <c r="I220" i="4" s="1"/>
  <c r="AT41" i="4" s="1"/>
  <c r="N49" i="6" s="1"/>
  <c r="V49" i="6" s="1"/>
  <c r="AT60" i="4"/>
  <c r="N68" i="6" s="1"/>
  <c r="P68" i="6" s="1"/>
  <c r="Q68" i="6" s="1"/>
  <c r="V117" i="6" l="1"/>
  <c r="W118" i="6" s="1"/>
  <c r="P117" i="6"/>
  <c r="Q117" i="6" s="1"/>
  <c r="AT97" i="4"/>
  <c r="N105" i="6" s="1"/>
  <c r="P105" i="6" s="1"/>
  <c r="Q105" i="6" s="1"/>
  <c r="AT100" i="4"/>
  <c r="N108" i="6" s="1"/>
  <c r="P108" i="6" s="1"/>
  <c r="Q108" i="6" s="1"/>
  <c r="AT102" i="4"/>
  <c r="N110" i="6" s="1"/>
  <c r="V110" i="6" s="1"/>
  <c r="AT107" i="4"/>
  <c r="N115" i="6" s="1"/>
  <c r="P115" i="6" s="1"/>
  <c r="Q115" i="6" s="1"/>
  <c r="AT108" i="4"/>
  <c r="N116" i="6" s="1"/>
  <c r="AT94" i="4"/>
  <c r="N102" i="6" s="1"/>
  <c r="P102" i="6" s="1"/>
  <c r="Q102" i="6" s="1"/>
  <c r="AT105" i="4"/>
  <c r="N113" i="6" s="1"/>
  <c r="P113" i="6" s="1"/>
  <c r="Q113" i="6" s="1"/>
  <c r="AT106" i="4"/>
  <c r="N114" i="6" s="1"/>
  <c r="AT99" i="4"/>
  <c r="N107" i="6" s="1"/>
  <c r="P107" i="6" s="1"/>
  <c r="Q107" i="6" s="1"/>
  <c r="AT98" i="4"/>
  <c r="N106" i="6" s="1"/>
  <c r="P106" i="6" s="1"/>
  <c r="Q106" i="6" s="1"/>
  <c r="AT103" i="4"/>
  <c r="N111" i="6" s="1"/>
  <c r="V111" i="6" s="1"/>
  <c r="AT104" i="4"/>
  <c r="N112" i="6" s="1"/>
  <c r="AT56" i="4"/>
  <c r="N64" i="6" s="1"/>
  <c r="P64" i="6" s="1"/>
  <c r="Q64" i="6" s="1"/>
  <c r="AT85" i="4"/>
  <c r="N93" i="6" s="1"/>
  <c r="V93" i="6" s="1"/>
  <c r="AT59" i="4"/>
  <c r="N67" i="6" s="1"/>
  <c r="P67" i="6" s="1"/>
  <c r="Q67" i="6" s="1"/>
  <c r="AT62" i="4"/>
  <c r="N70" i="6" s="1"/>
  <c r="P70" i="6" s="1"/>
  <c r="Q70" i="6" s="1"/>
  <c r="AT46" i="4"/>
  <c r="N54" i="6" s="1"/>
  <c r="P54" i="6" s="1"/>
  <c r="Q54" i="6" s="1"/>
  <c r="AT63" i="4"/>
  <c r="N71" i="6" s="1"/>
  <c r="P71" i="6" s="1"/>
  <c r="Q71" i="6" s="1"/>
  <c r="AT64" i="4"/>
  <c r="N72" i="6" s="1"/>
  <c r="P72" i="6" s="1"/>
  <c r="Q72" i="6" s="1"/>
  <c r="AT24" i="4"/>
  <c r="N32" i="6" s="1"/>
  <c r="V32" i="6" s="1"/>
  <c r="AT26" i="4"/>
  <c r="N34" i="6" s="1"/>
  <c r="V34" i="6" s="1"/>
  <c r="AT25" i="4"/>
  <c r="N33" i="6" s="1"/>
  <c r="V33" i="6" s="1"/>
  <c r="AT36" i="4"/>
  <c r="N44" i="6" s="1"/>
  <c r="V44" i="6" s="1"/>
  <c r="AT92" i="4"/>
  <c r="N100" i="6" s="1"/>
  <c r="P100" i="6" s="1"/>
  <c r="Q100" i="6" s="1"/>
  <c r="AT45" i="4"/>
  <c r="N53" i="6" s="1"/>
  <c r="AT90" i="4"/>
  <c r="N98" i="6" s="1"/>
  <c r="V98" i="6" s="1"/>
  <c r="AT21" i="4"/>
  <c r="N29" i="6" s="1"/>
  <c r="P29" i="6" s="1"/>
  <c r="Q29" i="6" s="1"/>
  <c r="AT22" i="4"/>
  <c r="N30" i="6" s="1"/>
  <c r="V68" i="6"/>
  <c r="AT87" i="4"/>
  <c r="N95" i="6" s="1"/>
  <c r="P95" i="6" s="1"/>
  <c r="Q95" i="6" s="1"/>
  <c r="AT96" i="4"/>
  <c r="N104" i="6" s="1"/>
  <c r="V109" i="6"/>
  <c r="P109" i="6"/>
  <c r="Q109" i="6" s="1"/>
  <c r="AT18" i="4"/>
  <c r="N26" i="6" s="1"/>
  <c r="P26" i="6" s="1"/>
  <c r="Q26" i="6" s="1"/>
  <c r="AT95" i="4"/>
  <c r="N103" i="6" s="1"/>
  <c r="V103" i="6" s="1"/>
  <c r="AT27" i="4"/>
  <c r="N35" i="6" s="1"/>
  <c r="P35" i="6" s="1"/>
  <c r="Q35" i="6" s="1"/>
  <c r="AT19" i="4"/>
  <c r="N27" i="6" s="1"/>
  <c r="P27" i="6" s="1"/>
  <c r="Q27" i="6" s="1"/>
  <c r="AT28" i="4"/>
  <c r="N36" i="6" s="1"/>
  <c r="V36" i="6" s="1"/>
  <c r="AT29" i="4"/>
  <c r="N37" i="6" s="1"/>
  <c r="V37" i="6" s="1"/>
  <c r="AT20" i="4"/>
  <c r="N28" i="6" s="1"/>
  <c r="P28" i="6" s="1"/>
  <c r="Q28" i="6" s="1"/>
  <c r="AT23" i="4"/>
  <c r="N31" i="6" s="1"/>
  <c r="AT30" i="4"/>
  <c r="N38" i="6" s="1"/>
  <c r="P38" i="6" s="1"/>
  <c r="Q38" i="6" s="1"/>
  <c r="AT83" i="4"/>
  <c r="N91" i="6" s="1"/>
  <c r="P91" i="6" s="1"/>
  <c r="Q91" i="6" s="1"/>
  <c r="AT93" i="4"/>
  <c r="N101" i="6" s="1"/>
  <c r="P101" i="6" s="1"/>
  <c r="Q101" i="6" s="1"/>
  <c r="AT86" i="4"/>
  <c r="N94" i="6" s="1"/>
  <c r="V94" i="6" s="1"/>
  <c r="AT82" i="4"/>
  <c r="N90" i="6" s="1"/>
  <c r="P90" i="6" s="1"/>
  <c r="Q90" i="6" s="1"/>
  <c r="AT89" i="4"/>
  <c r="N97" i="6" s="1"/>
  <c r="V99" i="6"/>
  <c r="P99" i="6"/>
  <c r="Q99" i="6" s="1"/>
  <c r="AT84" i="4"/>
  <c r="N92" i="6" s="1"/>
  <c r="P92" i="6" s="1"/>
  <c r="Q92" i="6" s="1"/>
  <c r="AT88" i="4"/>
  <c r="N96" i="6" s="1"/>
  <c r="V96" i="6" s="1"/>
  <c r="AT65" i="4"/>
  <c r="N73" i="6" s="1"/>
  <c r="V66" i="6"/>
  <c r="AT37" i="4"/>
  <c r="N45" i="6" s="1"/>
  <c r="P45" i="6" s="1"/>
  <c r="Q45" i="6" s="1"/>
  <c r="AT61" i="4"/>
  <c r="N69" i="6" s="1"/>
  <c r="AT69" i="4"/>
  <c r="N77" i="6" s="1"/>
  <c r="AT68" i="4"/>
  <c r="N76" i="6" s="1"/>
  <c r="AT67" i="4"/>
  <c r="N75" i="6" s="1"/>
  <c r="AT70" i="4"/>
  <c r="N78" i="6" s="1"/>
  <c r="AT66" i="4"/>
  <c r="N74" i="6" s="1"/>
  <c r="AT72" i="4"/>
  <c r="N80" i="6" s="1"/>
  <c r="AT75" i="4"/>
  <c r="N83" i="6" s="1"/>
  <c r="AT74" i="4"/>
  <c r="N82" i="6" s="1"/>
  <c r="AT73" i="4"/>
  <c r="N81" i="6" s="1"/>
  <c r="AT77" i="4"/>
  <c r="N85" i="6" s="1"/>
  <c r="AT76" i="4"/>
  <c r="N84" i="6" s="1"/>
  <c r="AT80" i="4"/>
  <c r="N88" i="6" s="1"/>
  <c r="AT79" i="4"/>
  <c r="N87" i="6" s="1"/>
  <c r="AT81" i="4"/>
  <c r="N89" i="6" s="1"/>
  <c r="AT78" i="4"/>
  <c r="N86" i="6" s="1"/>
  <c r="AT71" i="4"/>
  <c r="N79" i="6" s="1"/>
  <c r="AT48" i="4"/>
  <c r="AT50" i="4"/>
  <c r="N58" i="6" s="1"/>
  <c r="P58" i="6" s="1"/>
  <c r="Q58" i="6" s="1"/>
  <c r="AT53" i="4"/>
  <c r="N61" i="6" s="1"/>
  <c r="P61" i="6" s="1"/>
  <c r="Q61" i="6" s="1"/>
  <c r="F245" i="4"/>
  <c r="AT42" i="4"/>
  <c r="N50" i="6" s="1"/>
  <c r="V50" i="6" s="1"/>
  <c r="W50" i="6" s="1"/>
  <c r="AT44" i="4"/>
  <c r="N52" i="6" s="1"/>
  <c r="V52" i="6" s="1"/>
  <c r="B248" i="4"/>
  <c r="B244" i="4"/>
  <c r="AT52" i="4"/>
  <c r="N60" i="6" s="1"/>
  <c r="V60" i="6" s="1"/>
  <c r="AT54" i="4"/>
  <c r="N62" i="6" s="1"/>
  <c r="P62" i="6" s="1"/>
  <c r="Q62" i="6" s="1"/>
  <c r="AT40" i="4"/>
  <c r="N48" i="6" s="1"/>
  <c r="V48" i="6" s="1"/>
  <c r="W49" i="6" s="1"/>
  <c r="E245" i="4"/>
  <c r="B245" i="4"/>
  <c r="AT38" i="4"/>
  <c r="N46" i="6" s="1"/>
  <c r="B243" i="4"/>
  <c r="C244" i="4"/>
  <c r="E242" i="4"/>
  <c r="AT43" i="4"/>
  <c r="N51" i="6" s="1"/>
  <c r="E247" i="4"/>
  <c r="C248" i="4"/>
  <c r="D246" i="4"/>
  <c r="F247" i="4"/>
  <c r="C245" i="4"/>
  <c r="B246" i="4"/>
  <c r="E248" i="4"/>
  <c r="B247" i="4"/>
  <c r="F244" i="4"/>
  <c r="D245" i="4"/>
  <c r="AT34" i="4"/>
  <c r="N42" i="6" s="1"/>
  <c r="C242" i="4"/>
  <c r="F242" i="4"/>
  <c r="E246" i="4"/>
  <c r="F246" i="4"/>
  <c r="E244" i="4"/>
  <c r="AT32" i="4"/>
  <c r="N40" i="6" s="1"/>
  <c r="C243" i="4"/>
  <c r="D243" i="4"/>
  <c r="D247" i="4"/>
  <c r="AT35" i="4"/>
  <c r="N43" i="6" s="1"/>
  <c r="V43" i="6" s="1"/>
  <c r="W44" i="6" s="1"/>
  <c r="AT39" i="4"/>
  <c r="N47" i="6" s="1"/>
  <c r="P47" i="6" s="1"/>
  <c r="Q47" i="6" s="1"/>
  <c r="C246" i="4"/>
  <c r="F243" i="4"/>
  <c r="D248" i="4"/>
  <c r="D244" i="4"/>
  <c r="AT33" i="4"/>
  <c r="N41" i="6" s="1"/>
  <c r="V41" i="6" s="1"/>
  <c r="F248" i="4"/>
  <c r="C247" i="4"/>
  <c r="E243" i="4"/>
  <c r="D242" i="4"/>
  <c r="B242" i="4"/>
  <c r="AT55" i="4"/>
  <c r="N63" i="6" s="1"/>
  <c r="AT57" i="4"/>
  <c r="N65" i="6" s="1"/>
  <c r="AT15" i="4"/>
  <c r="N23" i="6" s="1"/>
  <c r="AT8" i="4"/>
  <c r="N16" i="6" s="1"/>
  <c r="AT13" i="4"/>
  <c r="N21" i="6" s="1"/>
  <c r="AT11" i="4"/>
  <c r="N19" i="6" s="1"/>
  <c r="AT17" i="4"/>
  <c r="N25" i="6" s="1"/>
  <c r="AT16" i="4"/>
  <c r="N24" i="6" s="1"/>
  <c r="AT6" i="4"/>
  <c r="N14" i="6" s="1"/>
  <c r="AT5" i="4"/>
  <c r="N13" i="6" s="1"/>
  <c r="AT7" i="4"/>
  <c r="N15" i="6" s="1"/>
  <c r="AT12" i="4"/>
  <c r="N20" i="6" s="1"/>
  <c r="AT14" i="4"/>
  <c r="N22" i="6" s="1"/>
  <c r="AT10" i="4"/>
  <c r="N18" i="6" s="1"/>
  <c r="AT9" i="4"/>
  <c r="N17" i="6" s="1"/>
  <c r="AT4" i="4"/>
  <c r="N12" i="6" s="1"/>
  <c r="P49" i="6"/>
  <c r="Q49" i="6" s="1"/>
  <c r="AT47" i="4"/>
  <c r="N55" i="6" s="1"/>
  <c r="AT49" i="4"/>
  <c r="N57" i="6" s="1"/>
  <c r="AT51" i="4"/>
  <c r="N59" i="6" s="1"/>
  <c r="V39" i="6"/>
  <c r="P39" i="6"/>
  <c r="Q39" i="6" s="1"/>
  <c r="V106" i="6" l="1"/>
  <c r="P44" i="6"/>
  <c r="Q44" i="6" s="1"/>
  <c r="V105" i="6"/>
  <c r="P110" i="6"/>
  <c r="Q110" i="6" s="1"/>
  <c r="V108" i="6"/>
  <c r="W109" i="6" s="1"/>
  <c r="V102" i="6"/>
  <c r="W103" i="6" s="1"/>
  <c r="V100" i="6"/>
  <c r="W100" i="6" s="1"/>
  <c r="V70" i="6"/>
  <c r="V28" i="6"/>
  <c r="P33" i="6"/>
  <c r="Q33" i="6" s="1"/>
  <c r="P93" i="6"/>
  <c r="Q93" i="6" s="1"/>
  <c r="V58" i="6"/>
  <c r="V115" i="6"/>
  <c r="P116" i="6"/>
  <c r="Q116" i="6" s="1"/>
  <c r="V116" i="6"/>
  <c r="W117" i="6" s="1"/>
  <c r="V107" i="6"/>
  <c r="P32" i="6"/>
  <c r="Q32" i="6" s="1"/>
  <c r="V113" i="6"/>
  <c r="V114" i="6"/>
  <c r="P114" i="6"/>
  <c r="Q114" i="6" s="1"/>
  <c r="V64" i="6"/>
  <c r="P34" i="6"/>
  <c r="Q34" i="6" s="1"/>
  <c r="P111" i="6"/>
  <c r="Q111" i="6" s="1"/>
  <c r="V112" i="6"/>
  <c r="P112" i="6"/>
  <c r="Q112" i="6" s="1"/>
  <c r="V54" i="6"/>
  <c r="V71" i="6"/>
  <c r="V67" i="6"/>
  <c r="W67" i="6" s="1"/>
  <c r="P36" i="6"/>
  <c r="Q36" i="6" s="1"/>
  <c r="V38" i="6"/>
  <c r="W39" i="6" s="1"/>
  <c r="V72" i="6"/>
  <c r="P31" i="6"/>
  <c r="Q31" i="6" s="1"/>
  <c r="V31" i="6"/>
  <c r="W32" i="6" s="1"/>
  <c r="V27" i="6"/>
  <c r="P98" i="6"/>
  <c r="Q98" i="6" s="1"/>
  <c r="V29" i="6"/>
  <c r="V90" i="6"/>
  <c r="V91" i="6"/>
  <c r="D257" i="4"/>
  <c r="H9" i="6" s="1"/>
  <c r="D269" i="4"/>
  <c r="C252" i="4"/>
  <c r="C264" i="4"/>
  <c r="D254" i="4"/>
  <c r="H6" i="6" s="1"/>
  <c r="D266" i="4"/>
  <c r="D255" i="4"/>
  <c r="H7" i="6" s="1"/>
  <c r="D267" i="4"/>
  <c r="D251" i="4"/>
  <c r="D263" i="4"/>
  <c r="C255" i="4"/>
  <c r="G7" i="6" s="1"/>
  <c r="C267" i="4"/>
  <c r="E253" i="4"/>
  <c r="I5" i="6" s="1"/>
  <c r="E265" i="4"/>
  <c r="B256" i="4"/>
  <c r="B268" i="4"/>
  <c r="E256" i="4"/>
  <c r="I8" i="6" s="1"/>
  <c r="E268" i="4"/>
  <c r="E254" i="4"/>
  <c r="I6" i="6" s="1"/>
  <c r="E266" i="4"/>
  <c r="F254" i="4"/>
  <c r="J6" i="6" s="1"/>
  <c r="F266" i="4"/>
  <c r="C257" i="4"/>
  <c r="G9" i="6" s="1"/>
  <c r="C269" i="4"/>
  <c r="V26" i="6"/>
  <c r="E252" i="4"/>
  <c r="I4" i="6" s="1"/>
  <c r="E264" i="4"/>
  <c r="F255" i="4"/>
  <c r="J7" i="6" s="1"/>
  <c r="F267" i="4"/>
  <c r="E257" i="4"/>
  <c r="I9" i="6" s="1"/>
  <c r="E269" i="4"/>
  <c r="C256" i="4"/>
  <c r="G8" i="6" s="1"/>
  <c r="C268" i="4"/>
  <c r="E255" i="4"/>
  <c r="I7" i="6" s="1"/>
  <c r="E267" i="4"/>
  <c r="V45" i="6"/>
  <c r="W45" i="6" s="1"/>
  <c r="B251" i="4"/>
  <c r="B263" i="4"/>
  <c r="F253" i="4"/>
  <c r="J5" i="6" s="1"/>
  <c r="F265" i="4"/>
  <c r="B254" i="4"/>
  <c r="B266" i="4"/>
  <c r="F257" i="4"/>
  <c r="J9" i="6" s="1"/>
  <c r="F269" i="4"/>
  <c r="F251" i="4"/>
  <c r="F263" i="4"/>
  <c r="B255" i="4"/>
  <c r="B267" i="4"/>
  <c r="E251" i="4"/>
  <c r="E263" i="4"/>
  <c r="V30" i="6"/>
  <c r="P30" i="6"/>
  <c r="Q30" i="6" s="1"/>
  <c r="D256" i="4"/>
  <c r="H8" i="6" s="1"/>
  <c r="D268" i="4"/>
  <c r="C251" i="4"/>
  <c r="C263" i="4"/>
  <c r="C254" i="4"/>
  <c r="C266" i="4"/>
  <c r="C253" i="4"/>
  <c r="C265" i="4"/>
  <c r="B253" i="4"/>
  <c r="B265" i="4"/>
  <c r="F252" i="4"/>
  <c r="J4" i="6" s="1"/>
  <c r="F264" i="4"/>
  <c r="D253" i="4"/>
  <c r="H5" i="6" s="1"/>
  <c r="D265" i="4"/>
  <c r="D252" i="4"/>
  <c r="H4" i="6" s="1"/>
  <c r="D264" i="4"/>
  <c r="F256" i="4"/>
  <c r="J8" i="6" s="1"/>
  <c r="F268" i="4"/>
  <c r="B252" i="4"/>
  <c r="B264" i="4"/>
  <c r="B257" i="4"/>
  <c r="F9" i="6" s="1"/>
  <c r="B269" i="4"/>
  <c r="V95" i="6"/>
  <c r="W96" i="6" s="1"/>
  <c r="P37" i="6"/>
  <c r="Q37" i="6" s="1"/>
  <c r="V61" i="6"/>
  <c r="W61" i="6" s="1"/>
  <c r="P94" i="6"/>
  <c r="Q94" i="6" s="1"/>
  <c r="P103" i="6"/>
  <c r="Q103" i="6" s="1"/>
  <c r="V53" i="6"/>
  <c r="W53" i="6" s="1"/>
  <c r="P53" i="6"/>
  <c r="Q53" i="6" s="1"/>
  <c r="W94" i="6"/>
  <c r="V35" i="6"/>
  <c r="W36" i="6" s="1"/>
  <c r="P48" i="6"/>
  <c r="Q48" i="6" s="1"/>
  <c r="V101" i="6"/>
  <c r="P104" i="6"/>
  <c r="Q104" i="6" s="1"/>
  <c r="V104" i="6"/>
  <c r="V92" i="6"/>
  <c r="W111" i="6"/>
  <c r="W110" i="6"/>
  <c r="W99" i="6"/>
  <c r="P96" i="6"/>
  <c r="Q96" i="6" s="1"/>
  <c r="P97" i="6"/>
  <c r="Q97" i="6" s="1"/>
  <c r="V97" i="6"/>
  <c r="W98" i="6" s="1"/>
  <c r="P60" i="6"/>
  <c r="Q60" i="6" s="1"/>
  <c r="V47" i="6"/>
  <c r="W48" i="6" s="1"/>
  <c r="P73" i="6"/>
  <c r="Q73" i="6" s="1"/>
  <c r="V73" i="6"/>
  <c r="P86" i="6"/>
  <c r="Q86" i="6" s="1"/>
  <c r="V86" i="6"/>
  <c r="P83" i="6"/>
  <c r="Q83" i="6" s="1"/>
  <c r="V83" i="6"/>
  <c r="P89" i="6"/>
  <c r="Q89" i="6" s="1"/>
  <c r="V89" i="6"/>
  <c r="P80" i="6"/>
  <c r="Q80" i="6" s="1"/>
  <c r="V80" i="6"/>
  <c r="V87" i="6"/>
  <c r="P87" i="6"/>
  <c r="Q87" i="6" s="1"/>
  <c r="V74" i="6"/>
  <c r="P74" i="6"/>
  <c r="Q74" i="6" s="1"/>
  <c r="P88" i="6"/>
  <c r="Q88" i="6" s="1"/>
  <c r="V88" i="6"/>
  <c r="P78" i="6"/>
  <c r="Q78" i="6" s="1"/>
  <c r="V78" i="6"/>
  <c r="V84" i="6"/>
  <c r="P84" i="6"/>
  <c r="Q84" i="6" s="1"/>
  <c r="P75" i="6"/>
  <c r="Q75" i="6" s="1"/>
  <c r="V75" i="6"/>
  <c r="P85" i="6"/>
  <c r="Q85" i="6" s="1"/>
  <c r="V85" i="6"/>
  <c r="P76" i="6"/>
  <c r="Q76" i="6" s="1"/>
  <c r="V76" i="6"/>
  <c r="P81" i="6"/>
  <c r="Q81" i="6" s="1"/>
  <c r="V81" i="6"/>
  <c r="P77" i="6"/>
  <c r="Q77" i="6" s="1"/>
  <c r="V77" i="6"/>
  <c r="P79" i="6"/>
  <c r="Q79" i="6" s="1"/>
  <c r="V79" i="6"/>
  <c r="V82" i="6"/>
  <c r="P82" i="6"/>
  <c r="Q82" i="6" s="1"/>
  <c r="P69" i="6"/>
  <c r="Q69" i="6" s="1"/>
  <c r="V69" i="6"/>
  <c r="N56" i="6"/>
  <c r="U133" i="6" s="1"/>
  <c r="P52" i="6"/>
  <c r="Q52" i="6" s="1"/>
  <c r="P50" i="6"/>
  <c r="Q50" i="6" s="1"/>
  <c r="P46" i="6"/>
  <c r="Q46" i="6" s="1"/>
  <c r="V46" i="6"/>
  <c r="P41" i="6"/>
  <c r="Q41" i="6" s="1"/>
  <c r="S42" i="6"/>
  <c r="V62" i="6"/>
  <c r="P51" i="6"/>
  <c r="Q51" i="6" s="1"/>
  <c r="V51" i="6"/>
  <c r="P43" i="6"/>
  <c r="Q43" i="6" s="1"/>
  <c r="S32" i="6"/>
  <c r="S54" i="6"/>
  <c r="V42" i="6"/>
  <c r="W42" i="6" s="1"/>
  <c r="P42" i="6"/>
  <c r="Q42" i="6" s="1"/>
  <c r="S51" i="6"/>
  <c r="P40" i="6"/>
  <c r="Q40" i="6" s="1"/>
  <c r="V40" i="6"/>
  <c r="W41" i="6" s="1"/>
  <c r="S55" i="6"/>
  <c r="S53" i="6"/>
  <c r="S37" i="6"/>
  <c r="S27" i="6"/>
  <c r="S33" i="6"/>
  <c r="S49" i="6"/>
  <c r="S48" i="6"/>
  <c r="S36" i="6"/>
  <c r="S29" i="6"/>
  <c r="S52" i="6"/>
  <c r="S39" i="6"/>
  <c r="S47" i="6"/>
  <c r="S50" i="6"/>
  <c r="S41" i="6"/>
  <c r="S35" i="6"/>
  <c r="S46" i="6"/>
  <c r="S28" i="6"/>
  <c r="S31" i="6"/>
  <c r="V65" i="6"/>
  <c r="P65" i="6"/>
  <c r="Q65" i="6" s="1"/>
  <c r="S34" i="6"/>
  <c r="S43" i="6"/>
  <c r="S30" i="6"/>
  <c r="S40" i="6"/>
  <c r="S44" i="6"/>
  <c r="S45" i="6"/>
  <c r="S26" i="6"/>
  <c r="P63" i="6"/>
  <c r="Q63" i="6" s="1"/>
  <c r="V63" i="6"/>
  <c r="S38" i="6"/>
  <c r="P14" i="6"/>
  <c r="Q14" i="6" s="1"/>
  <c r="V14" i="6"/>
  <c r="S14" i="6"/>
  <c r="V12" i="6"/>
  <c r="W12" i="6" s="1"/>
  <c r="X12" i="6" s="1"/>
  <c r="P12" i="6"/>
  <c r="Q12" i="6" s="1"/>
  <c r="S12" i="6"/>
  <c r="V24" i="6"/>
  <c r="P24" i="6"/>
  <c r="Q24" i="6" s="1"/>
  <c r="S24" i="6"/>
  <c r="V17" i="6"/>
  <c r="P17" i="6"/>
  <c r="Q17" i="6" s="1"/>
  <c r="S17" i="6"/>
  <c r="S25" i="6"/>
  <c r="V25" i="6"/>
  <c r="P25" i="6"/>
  <c r="Q25" i="6" s="1"/>
  <c r="V18" i="6"/>
  <c r="S18" i="6"/>
  <c r="P18" i="6"/>
  <c r="Q18" i="6" s="1"/>
  <c r="V19" i="6"/>
  <c r="P19" i="6"/>
  <c r="Q19" i="6" s="1"/>
  <c r="S19" i="6"/>
  <c r="V22" i="6"/>
  <c r="P22" i="6"/>
  <c r="Q22" i="6" s="1"/>
  <c r="S22" i="6"/>
  <c r="P21" i="6"/>
  <c r="Q21" i="6" s="1"/>
  <c r="V21" i="6"/>
  <c r="S21" i="6"/>
  <c r="P20" i="6"/>
  <c r="Q20" i="6" s="1"/>
  <c r="V20" i="6"/>
  <c r="S20" i="6"/>
  <c r="V16" i="6"/>
  <c r="P16" i="6"/>
  <c r="Q16" i="6" s="1"/>
  <c r="S16" i="6"/>
  <c r="V15" i="6"/>
  <c r="S15" i="6"/>
  <c r="P15" i="6"/>
  <c r="Q15" i="6" s="1"/>
  <c r="V23" i="6"/>
  <c r="S23" i="6"/>
  <c r="P23" i="6"/>
  <c r="Q23" i="6" s="1"/>
  <c r="S13" i="6"/>
  <c r="P13" i="6"/>
  <c r="Q13" i="6" s="1"/>
  <c r="V13" i="6"/>
  <c r="P59" i="6"/>
  <c r="Q59" i="6" s="1"/>
  <c r="V59" i="6"/>
  <c r="W60" i="6" s="1"/>
  <c r="V57" i="6"/>
  <c r="P57" i="6"/>
  <c r="Q57" i="6" s="1"/>
  <c r="P55" i="6"/>
  <c r="Q55" i="6" s="1"/>
  <c r="V55" i="6"/>
  <c r="W34" i="6"/>
  <c r="W33" i="6"/>
  <c r="W37" i="6"/>
  <c r="W106" i="6" l="1"/>
  <c r="W105" i="6"/>
  <c r="W102" i="6"/>
  <c r="U12" i="6"/>
  <c r="AA12" i="6" s="1"/>
  <c r="U17" i="6"/>
  <c r="U21" i="6"/>
  <c r="U16" i="6"/>
  <c r="U15" i="6"/>
  <c r="U14" i="6"/>
  <c r="U13" i="6"/>
  <c r="U25" i="6"/>
  <c r="U19" i="6"/>
  <c r="U26" i="6"/>
  <c r="U18" i="6"/>
  <c r="U23" i="6"/>
  <c r="U20" i="6"/>
  <c r="U22" i="6"/>
  <c r="W108" i="6"/>
  <c r="U24" i="6"/>
  <c r="U30" i="6"/>
  <c r="U27" i="6"/>
  <c r="U31" i="6"/>
  <c r="U28" i="6"/>
  <c r="U32" i="6"/>
  <c r="U29" i="6"/>
  <c r="U33" i="6"/>
  <c r="W28" i="6"/>
  <c r="W29" i="6"/>
  <c r="W71" i="6"/>
  <c r="W68" i="6"/>
  <c r="W87" i="6"/>
  <c r="W107" i="6"/>
  <c r="W38" i="6"/>
  <c r="W27" i="6"/>
  <c r="W92" i="6"/>
  <c r="W115" i="6"/>
  <c r="W113" i="6"/>
  <c r="W73" i="6"/>
  <c r="W116" i="6"/>
  <c r="W114" i="6"/>
  <c r="G4" i="6"/>
  <c r="W72" i="6"/>
  <c r="W112" i="6"/>
  <c r="W31" i="6"/>
  <c r="W30" i="6"/>
  <c r="W91" i="6"/>
  <c r="AM19" i="2"/>
  <c r="AM18" i="2"/>
  <c r="S135" i="6"/>
  <c r="U46" i="6"/>
  <c r="S67" i="6"/>
  <c r="U53" i="6"/>
  <c r="S126" i="6"/>
  <c r="U34" i="6"/>
  <c r="U115" i="6"/>
  <c r="S84" i="6"/>
  <c r="S189" i="6"/>
  <c r="S162" i="6"/>
  <c r="S104" i="6"/>
  <c r="S142" i="6"/>
  <c r="S159" i="6"/>
  <c r="S124" i="6"/>
  <c r="U170" i="6"/>
  <c r="S156" i="6"/>
  <c r="S108" i="6"/>
  <c r="S186" i="6"/>
  <c r="U62" i="6"/>
  <c r="S88" i="6"/>
  <c r="S171" i="6"/>
  <c r="S188" i="6"/>
  <c r="S160" i="6"/>
  <c r="S83" i="6"/>
  <c r="S167" i="6"/>
  <c r="S86" i="6"/>
  <c r="S125" i="6"/>
  <c r="S107" i="6"/>
  <c r="S112" i="6"/>
  <c r="S182" i="6"/>
  <c r="S78" i="6"/>
  <c r="S72" i="6"/>
  <c r="S75" i="6"/>
  <c r="S131" i="6"/>
  <c r="S117" i="6"/>
  <c r="S123" i="6"/>
  <c r="S66" i="6"/>
  <c r="S92" i="6"/>
  <c r="S140" i="6"/>
  <c r="S164" i="6"/>
  <c r="S211" i="6"/>
  <c r="S65" i="6"/>
  <c r="S201" i="6"/>
  <c r="S58" i="6"/>
  <c r="S113" i="6"/>
  <c r="S118" i="6"/>
  <c r="S202" i="6"/>
  <c r="S184" i="6"/>
  <c r="S155" i="6"/>
  <c r="S208" i="6"/>
  <c r="S73" i="6"/>
  <c r="U54" i="6"/>
  <c r="U77" i="6"/>
  <c r="U192" i="6"/>
  <c r="S174" i="6"/>
  <c r="S97" i="6"/>
  <c r="S194" i="6"/>
  <c r="S190" i="6"/>
  <c r="S185" i="6"/>
  <c r="S59" i="6"/>
  <c r="S177" i="6"/>
  <c r="S147" i="6"/>
  <c r="S204" i="6"/>
  <c r="S143" i="6"/>
  <c r="S130" i="6"/>
  <c r="S63" i="6"/>
  <c r="S82" i="6"/>
  <c r="S180" i="6"/>
  <c r="S109" i="6"/>
  <c r="S153" i="6"/>
  <c r="S57" i="6"/>
  <c r="U55" i="6"/>
  <c r="S209" i="6"/>
  <c r="S98" i="6"/>
  <c r="S121" i="6"/>
  <c r="S94" i="6"/>
  <c r="S144" i="6"/>
  <c r="S181" i="6"/>
  <c r="S71" i="6"/>
  <c r="S179" i="6"/>
  <c r="S148" i="6"/>
  <c r="S198" i="6"/>
  <c r="S93" i="6"/>
  <c r="S91" i="6"/>
  <c r="S120" i="6"/>
  <c r="S111" i="6"/>
  <c r="S62" i="6"/>
  <c r="S157" i="6"/>
  <c r="S152" i="6"/>
  <c r="S106" i="6"/>
  <c r="S187" i="6"/>
  <c r="S60" i="6"/>
  <c r="S168" i="6"/>
  <c r="S139" i="6"/>
  <c r="S87" i="6"/>
  <c r="S129" i="6"/>
  <c r="S74" i="6"/>
  <c r="S169" i="6"/>
  <c r="S132" i="6"/>
  <c r="U76" i="6"/>
  <c r="U63" i="6"/>
  <c r="U75" i="6"/>
  <c r="S205" i="6"/>
  <c r="S150" i="6"/>
  <c r="S69" i="6"/>
  <c r="S192" i="6"/>
  <c r="S151" i="6"/>
  <c r="S141" i="6"/>
  <c r="S138" i="6"/>
  <c r="S115" i="6"/>
  <c r="S95" i="6"/>
  <c r="S133" i="6"/>
  <c r="S191" i="6"/>
  <c r="S89" i="6"/>
  <c r="S64" i="6"/>
  <c r="S175" i="6"/>
  <c r="S196" i="6"/>
  <c r="S163" i="6"/>
  <c r="S178" i="6"/>
  <c r="S134" i="6"/>
  <c r="S56" i="6"/>
  <c r="S145" i="6"/>
  <c r="U56" i="6"/>
  <c r="U156" i="6"/>
  <c r="U90" i="6"/>
  <c r="U135" i="6"/>
  <c r="S61" i="6"/>
  <c r="S128" i="6"/>
  <c r="S176" i="6"/>
  <c r="S183" i="6"/>
  <c r="S102" i="6"/>
  <c r="S195" i="6"/>
  <c r="S85" i="6"/>
  <c r="S166" i="6"/>
  <c r="S103" i="6"/>
  <c r="S119" i="6"/>
  <c r="S114" i="6"/>
  <c r="S96" i="6"/>
  <c r="S99" i="6"/>
  <c r="S101" i="6"/>
  <c r="S116" i="6"/>
  <c r="W26" i="6"/>
  <c r="S127" i="6"/>
  <c r="S100" i="6"/>
  <c r="U169" i="6"/>
  <c r="U149" i="6"/>
  <c r="S68" i="6"/>
  <c r="S203" i="6"/>
  <c r="S80" i="6"/>
  <c r="S81" i="6"/>
  <c r="S161" i="6"/>
  <c r="S70" i="6"/>
  <c r="S137" i="6"/>
  <c r="U57" i="6"/>
  <c r="S206" i="6"/>
  <c r="S77" i="6"/>
  <c r="S158" i="6"/>
  <c r="S172" i="6"/>
  <c r="S146" i="6"/>
  <c r="S200" i="6"/>
  <c r="S170" i="6"/>
  <c r="S79" i="6"/>
  <c r="S193" i="6"/>
  <c r="S199" i="6"/>
  <c r="S210" i="6"/>
  <c r="S110" i="6"/>
  <c r="S90" i="6"/>
  <c r="S136" i="6"/>
  <c r="S122" i="6"/>
  <c r="S76" i="6"/>
  <c r="U126" i="6"/>
  <c r="U201" i="6"/>
  <c r="U151" i="6"/>
  <c r="U179" i="6"/>
  <c r="U190" i="6"/>
  <c r="U150" i="6"/>
  <c r="U131" i="6"/>
  <c r="U94" i="6"/>
  <c r="U89" i="6"/>
  <c r="U85" i="6"/>
  <c r="U153" i="6"/>
  <c r="S173" i="6"/>
  <c r="S197" i="6"/>
  <c r="S105" i="6"/>
  <c r="S154" i="6"/>
  <c r="U145" i="6"/>
  <c r="U86" i="6"/>
  <c r="U196" i="6"/>
  <c r="U194" i="6"/>
  <c r="U110" i="6"/>
  <c r="U69" i="6"/>
  <c r="U118" i="6"/>
  <c r="U92" i="6"/>
  <c r="S149" i="6"/>
  <c r="S165" i="6"/>
  <c r="W62" i="6"/>
  <c r="U147" i="6"/>
  <c r="U122" i="6"/>
  <c r="U164" i="6"/>
  <c r="U165" i="6"/>
  <c r="U174" i="6"/>
  <c r="U175" i="6"/>
  <c r="U132" i="6"/>
  <c r="U200" i="6"/>
  <c r="U146" i="6"/>
  <c r="U141" i="6"/>
  <c r="U188" i="6"/>
  <c r="U182" i="6"/>
  <c r="U161" i="6"/>
  <c r="U191" i="6"/>
  <c r="U139" i="6"/>
  <c r="U198" i="6"/>
  <c r="U112" i="6"/>
  <c r="U68" i="6"/>
  <c r="U142" i="6"/>
  <c r="U116" i="6"/>
  <c r="U103" i="6"/>
  <c r="U119" i="6"/>
  <c r="U172" i="6"/>
  <c r="U105" i="6"/>
  <c r="U129" i="6"/>
  <c r="U109" i="6"/>
  <c r="U96" i="6"/>
  <c r="U204" i="6"/>
  <c r="U121" i="6"/>
  <c r="U125" i="6"/>
  <c r="U117" i="6"/>
  <c r="U104" i="6"/>
  <c r="U80" i="6"/>
  <c r="U203" i="6"/>
  <c r="U197" i="6"/>
  <c r="U189" i="6"/>
  <c r="U154" i="6"/>
  <c r="U91" i="6"/>
  <c r="U187" i="6"/>
  <c r="U181" i="6"/>
  <c r="U143" i="6"/>
  <c r="U148" i="6"/>
  <c r="U81" i="6"/>
  <c r="U106" i="6"/>
  <c r="U113" i="6"/>
  <c r="U193" i="6"/>
  <c r="U97" i="6"/>
  <c r="U87" i="6"/>
  <c r="U177" i="6"/>
  <c r="U180" i="6"/>
  <c r="U99" i="6"/>
  <c r="U186" i="6"/>
  <c r="U163" i="6"/>
  <c r="U124" i="6"/>
  <c r="U128" i="6"/>
  <c r="S207" i="6"/>
  <c r="U108" i="6"/>
  <c r="U95" i="6"/>
  <c r="U168" i="6"/>
  <c r="U72" i="6"/>
  <c r="U67" i="6"/>
  <c r="U176" i="6"/>
  <c r="U185" i="6"/>
  <c r="W74" i="6"/>
  <c r="U83" i="6"/>
  <c r="U195" i="6"/>
  <c r="W95" i="6"/>
  <c r="U71" i="6"/>
  <c r="U140" i="6"/>
  <c r="U205" i="6"/>
  <c r="U155" i="6"/>
  <c r="U167" i="6"/>
  <c r="U134" i="6"/>
  <c r="U79" i="6"/>
  <c r="U158" i="6"/>
  <c r="U199" i="6"/>
  <c r="U137" i="6"/>
  <c r="U210" i="6"/>
  <c r="U93" i="6"/>
  <c r="U73" i="6"/>
  <c r="U35" i="6"/>
  <c r="Y19" i="2"/>
  <c r="Y18" i="2"/>
  <c r="U42" i="6"/>
  <c r="U37" i="6"/>
  <c r="U36" i="6"/>
  <c r="U38" i="6"/>
  <c r="U39" i="6"/>
  <c r="U40" i="6"/>
  <c r="U47" i="6"/>
  <c r="U59" i="6"/>
  <c r="U44" i="6"/>
  <c r="W97" i="6"/>
  <c r="U43" i="6"/>
  <c r="U45" i="6"/>
  <c r="U41" i="6"/>
  <c r="U98" i="6"/>
  <c r="U159" i="6"/>
  <c r="U74" i="6"/>
  <c r="U209" i="6"/>
  <c r="U111" i="6"/>
  <c r="F4" i="6"/>
  <c r="J2" i="6"/>
  <c r="U160" i="6"/>
  <c r="U107" i="6"/>
  <c r="U123" i="6"/>
  <c r="U206" i="6"/>
  <c r="U52" i="6"/>
  <c r="U127" i="6"/>
  <c r="U101" i="6"/>
  <c r="U84" i="6"/>
  <c r="U50" i="6"/>
  <c r="U166" i="6"/>
  <c r="U114" i="6"/>
  <c r="U152" i="6"/>
  <c r="U100" i="6"/>
  <c r="U202" i="6"/>
  <c r="U157" i="6"/>
  <c r="U144" i="6"/>
  <c r="U102" i="6"/>
  <c r="U49" i="6"/>
  <c r="U48" i="6"/>
  <c r="U51" i="6"/>
  <c r="G5" i="6"/>
  <c r="G6" i="6" s="1"/>
  <c r="G2" i="6" s="1"/>
  <c r="I2" i="6"/>
  <c r="H2" i="6"/>
  <c r="U208" i="6"/>
  <c r="U130" i="6"/>
  <c r="U138" i="6"/>
  <c r="U171" i="6"/>
  <c r="U120" i="6"/>
  <c r="U78" i="6"/>
  <c r="U82" i="6"/>
  <c r="U184" i="6"/>
  <c r="U136" i="6"/>
  <c r="U70" i="6"/>
  <c r="U211" i="6"/>
  <c r="U162" i="6"/>
  <c r="U88" i="6"/>
  <c r="U173" i="6"/>
  <c r="U65" i="6"/>
  <c r="U183" i="6"/>
  <c r="U66" i="6"/>
  <c r="W101" i="6"/>
  <c r="U207" i="6"/>
  <c r="U64" i="6"/>
  <c r="U178" i="6"/>
  <c r="W35" i="6"/>
  <c r="W54" i="6"/>
  <c r="W104" i="6"/>
  <c r="W88" i="6"/>
  <c r="W81" i="6"/>
  <c r="W79" i="6"/>
  <c r="U60" i="6"/>
  <c r="W75" i="6"/>
  <c r="U58" i="6"/>
  <c r="W93" i="6"/>
  <c r="W82" i="6"/>
  <c r="W76" i="6"/>
  <c r="V56" i="6"/>
  <c r="W57" i="6" s="1"/>
  <c r="U61" i="6"/>
  <c r="W23" i="6"/>
  <c r="W69" i="6"/>
  <c r="W70" i="6"/>
  <c r="W90" i="6"/>
  <c r="W89" i="6"/>
  <c r="W84" i="6"/>
  <c r="W83" i="6"/>
  <c r="W85" i="6"/>
  <c r="W78" i="6"/>
  <c r="W77" i="6"/>
  <c r="W86" i="6"/>
  <c r="W80" i="6"/>
  <c r="P56" i="6"/>
  <c r="Q56" i="6" s="1"/>
  <c r="W20" i="6"/>
  <c r="W46" i="6"/>
  <c r="W47" i="6"/>
  <c r="W16" i="6"/>
  <c r="W18" i="6"/>
  <c r="W51" i="6"/>
  <c r="W52" i="6"/>
  <c r="W40" i="6"/>
  <c r="W43" i="6"/>
  <c r="W22" i="6"/>
  <c r="W63" i="6"/>
  <c r="W64" i="6"/>
  <c r="W65" i="6"/>
  <c r="W66" i="6"/>
  <c r="W13" i="6"/>
  <c r="X13" i="6" s="1"/>
  <c r="W15" i="6"/>
  <c r="W24" i="6"/>
  <c r="W25" i="6"/>
  <c r="Y12" i="6"/>
  <c r="AC12" i="6"/>
  <c r="Z12" i="6"/>
  <c r="AE12" i="6"/>
  <c r="AF12" i="6" s="1"/>
  <c r="AD12" i="6"/>
  <c r="AB12" i="6"/>
  <c r="W19" i="6"/>
  <c r="W21" i="6"/>
  <c r="W17" i="6"/>
  <c r="W14" i="6"/>
  <c r="W59" i="6"/>
  <c r="W55" i="6"/>
  <c r="W58" i="6"/>
  <c r="AL18" i="2" l="1"/>
  <c r="AK17" i="2" s="1"/>
  <c r="AL10" i="2"/>
  <c r="AL8" i="2"/>
  <c r="AL7" i="2"/>
  <c r="AL14" i="2"/>
  <c r="AL6" i="2"/>
  <c r="AL9" i="2"/>
  <c r="AL13" i="2"/>
  <c r="AL5" i="2"/>
  <c r="AL12" i="2"/>
  <c r="AL11" i="2"/>
  <c r="F5" i="6"/>
  <c r="F6" i="6" s="1"/>
  <c r="F7" i="6" s="1"/>
  <c r="F8" i="6" s="1"/>
  <c r="AL4" i="2"/>
  <c r="W56" i="6"/>
  <c r="X14" i="6"/>
  <c r="Z14" i="6" s="1"/>
  <c r="Y13" i="6"/>
  <c r="AE13" i="6"/>
  <c r="AF13" i="6" s="1"/>
  <c r="AB13" i="6"/>
  <c r="AA13" i="6"/>
  <c r="AD13" i="6"/>
  <c r="Z13" i="6"/>
  <c r="AC13" i="6"/>
  <c r="AG12" i="6"/>
  <c r="F2" i="6" l="1"/>
  <c r="F3" i="6"/>
  <c r="X17" i="2" s="1"/>
  <c r="X4" i="2"/>
  <c r="X9" i="2"/>
  <c r="X6" i="2"/>
  <c r="X18" i="2"/>
  <c r="W17" i="2" s="1"/>
  <c r="Y17" i="2" s="1"/>
  <c r="AM17" i="2"/>
  <c r="X11" i="2"/>
  <c r="X14" i="2"/>
  <c r="X8" i="2"/>
  <c r="X7" i="2"/>
  <c r="X5" i="2"/>
  <c r="X10" i="2"/>
  <c r="X13" i="2"/>
  <c r="X12" i="2"/>
  <c r="Y14" i="6"/>
  <c r="AD14" i="6"/>
  <c r="AG13" i="6"/>
  <c r="X15" i="6"/>
  <c r="AE14" i="6"/>
  <c r="AF14" i="6" s="1"/>
  <c r="AC14" i="6"/>
  <c r="AA14" i="6"/>
  <c r="AB14" i="6"/>
  <c r="X16" i="2" l="1"/>
  <c r="X15" i="2"/>
  <c r="W16" i="2"/>
  <c r="Y16" i="2" s="1"/>
  <c r="AG14" i="6"/>
  <c r="AE15" i="6"/>
  <c r="AF15" i="6" s="1"/>
  <c r="AD15" i="6"/>
  <c r="AB15" i="6"/>
  <c r="Z15" i="6"/>
  <c r="X16" i="6"/>
  <c r="X17" i="6" s="1"/>
  <c r="X18" i="6" s="1"/>
  <c r="AC15" i="6"/>
  <c r="Y15" i="6"/>
  <c r="AA15" i="6"/>
  <c r="W15" i="2" l="1"/>
  <c r="AG15" i="6"/>
  <c r="Y18" i="6"/>
  <c r="AE18" i="6"/>
  <c r="AF18" i="6" s="1"/>
  <c r="AB18" i="6"/>
  <c r="AD18" i="6"/>
  <c r="AC18" i="6"/>
  <c r="Z18" i="6"/>
  <c r="AA18" i="6"/>
  <c r="AB17" i="6"/>
  <c r="Y17" i="6"/>
  <c r="AA17" i="6"/>
  <c r="AD17" i="6"/>
  <c r="AE17" i="6"/>
  <c r="AF17" i="6" s="1"/>
  <c r="AC17" i="6"/>
  <c r="Z17" i="6"/>
  <c r="AE16" i="6"/>
  <c r="AF16" i="6" s="1"/>
  <c r="AB16" i="6"/>
  <c r="Y16" i="6"/>
  <c r="AA16" i="6"/>
  <c r="Z16" i="6"/>
  <c r="AC16" i="6"/>
  <c r="AD16" i="6"/>
  <c r="X19" i="6"/>
  <c r="X20" i="6" s="1"/>
  <c r="Y15" i="2" l="1"/>
  <c r="W14" i="2"/>
  <c r="AG18" i="6"/>
  <c r="AG17" i="6"/>
  <c r="Z20" i="6"/>
  <c r="Y20" i="6"/>
  <c r="AA20" i="6"/>
  <c r="AB20" i="6"/>
  <c r="AD20" i="6"/>
  <c r="AC20" i="6"/>
  <c r="AE20" i="6"/>
  <c r="AF20" i="6" s="1"/>
  <c r="AC19" i="6"/>
  <c r="Z19" i="6"/>
  <c r="AA19" i="6"/>
  <c r="AE19" i="6"/>
  <c r="AF19" i="6" s="1"/>
  <c r="AD19" i="6"/>
  <c r="AB19" i="6"/>
  <c r="Y19" i="6"/>
  <c r="X21" i="6"/>
  <c r="X22" i="6" s="1"/>
  <c r="AG16" i="6"/>
  <c r="Y14" i="2" l="1"/>
  <c r="W13" i="2"/>
  <c r="AG19" i="6"/>
  <c r="AG20" i="6"/>
  <c r="AD21" i="6"/>
  <c r="AC21" i="6"/>
  <c r="AB21" i="6"/>
  <c r="AE21" i="6"/>
  <c r="AF21" i="6" s="1"/>
  <c r="Z21" i="6"/>
  <c r="Y21" i="6"/>
  <c r="AA21" i="6"/>
  <c r="Y22" i="6"/>
  <c r="Z22" i="6"/>
  <c r="AB22" i="6"/>
  <c r="AD22" i="6"/>
  <c r="AA22" i="6"/>
  <c r="AC22" i="6"/>
  <c r="AE22" i="6"/>
  <c r="AF22" i="6" s="1"/>
  <c r="X23" i="6"/>
  <c r="Y13" i="2" l="1"/>
  <c r="W12" i="2"/>
  <c r="AG21" i="6"/>
  <c r="AC23" i="6"/>
  <c r="Y23" i="6"/>
  <c r="AA23" i="6"/>
  <c r="AD23" i="6"/>
  <c r="AB23" i="6"/>
  <c r="AE23" i="6"/>
  <c r="AF23" i="6" s="1"/>
  <c r="Z23" i="6"/>
  <c r="AG22" i="6"/>
  <c r="X24" i="6"/>
  <c r="Y12" i="2" l="1"/>
  <c r="W11" i="2"/>
  <c r="X25" i="6"/>
  <c r="X26" i="6" s="1"/>
  <c r="Y24" i="6"/>
  <c r="AA24" i="6"/>
  <c r="AB24" i="6"/>
  <c r="AD24" i="6"/>
  <c r="AE24" i="6"/>
  <c r="AF24" i="6" s="1"/>
  <c r="Z24" i="6"/>
  <c r="AC24" i="6"/>
  <c r="AG23" i="6"/>
  <c r="Y11" i="2" l="1"/>
  <c r="W10" i="2"/>
  <c r="AG24" i="6"/>
  <c r="Y26" i="6"/>
  <c r="Z26" i="6"/>
  <c r="AD26" i="6"/>
  <c r="AA26" i="6"/>
  <c r="AC26" i="6"/>
  <c r="AB26" i="6"/>
  <c r="AE26" i="6"/>
  <c r="AF26" i="6" s="1"/>
  <c r="X27" i="6"/>
  <c r="AE25" i="6"/>
  <c r="AF25" i="6" s="1"/>
  <c r="AC25" i="6"/>
  <c r="Y25" i="6"/>
  <c r="AB25" i="6"/>
  <c r="AA25" i="6"/>
  <c r="Z25" i="6"/>
  <c r="AD25" i="6"/>
  <c r="AG25" i="6" l="1"/>
  <c r="Y10" i="2"/>
  <c r="W9" i="2"/>
  <c r="AG26" i="6"/>
  <c r="X28" i="6"/>
  <c r="X29" i="6" s="1"/>
  <c r="AD27" i="6"/>
  <c r="AC27" i="6"/>
  <c r="Z27" i="6"/>
  <c r="AA27" i="6"/>
  <c r="AB27" i="6"/>
  <c r="AE27" i="6"/>
  <c r="AF27" i="6" s="1"/>
  <c r="Y27" i="6"/>
  <c r="Y9" i="2" l="1"/>
  <c r="W8" i="2"/>
  <c r="X30" i="6"/>
  <c r="AC30" i="6" s="1"/>
  <c r="AG27" i="6"/>
  <c r="AD29" i="6"/>
  <c r="AA29" i="6"/>
  <c r="AC29" i="6"/>
  <c r="AE29" i="6"/>
  <c r="AF29" i="6" s="1"/>
  <c r="AB29" i="6"/>
  <c r="Z29" i="6"/>
  <c r="Y29" i="6"/>
  <c r="AB28" i="6"/>
  <c r="AA28" i="6"/>
  <c r="AE28" i="6"/>
  <c r="AF28" i="6" s="1"/>
  <c r="AD28" i="6"/>
  <c r="AC28" i="6"/>
  <c r="Y28" i="6"/>
  <c r="Z28" i="6"/>
  <c r="Y8" i="2" l="1"/>
  <c r="W7" i="2"/>
  <c r="X31" i="6"/>
  <c r="Y31" i="6" s="1"/>
  <c r="Y30" i="6"/>
  <c r="AB30" i="6"/>
  <c r="AE30" i="6"/>
  <c r="AF30" i="6" s="1"/>
  <c r="AA30" i="6"/>
  <c r="AG28" i="6"/>
  <c r="Z30" i="6"/>
  <c r="AD30" i="6"/>
  <c r="AG29" i="6"/>
  <c r="Y7" i="2" l="1"/>
  <c r="W6" i="2"/>
  <c r="Z31" i="6"/>
  <c r="X32" i="6"/>
  <c r="Y32" i="6" s="1"/>
  <c r="AC31" i="6"/>
  <c r="AE31" i="6"/>
  <c r="AF31" i="6" s="1"/>
  <c r="AB31" i="6"/>
  <c r="AA31" i="6"/>
  <c r="AD31" i="6"/>
  <c r="AG30" i="6"/>
  <c r="Y6" i="2" l="1"/>
  <c r="W5" i="2"/>
  <c r="X33" i="6"/>
  <c r="AE33" i="6" s="1"/>
  <c r="AF33" i="6" s="1"/>
  <c r="AB32" i="6"/>
  <c r="AA32" i="6"/>
  <c r="AE32" i="6"/>
  <c r="AF32" i="6" s="1"/>
  <c r="Z32" i="6"/>
  <c r="AG31" i="6"/>
  <c r="AD32" i="6"/>
  <c r="AC32" i="6"/>
  <c r="X34" i="6" l="1"/>
  <c r="AE34" i="6" s="1"/>
  <c r="AF34" i="6" s="1"/>
  <c r="Y33" i="6"/>
  <c r="AA33" i="6"/>
  <c r="AB33" i="6"/>
  <c r="AD33" i="6"/>
  <c r="Z33" i="6"/>
  <c r="AC33" i="6"/>
  <c r="AG33" i="6" s="1"/>
  <c r="Y5" i="2"/>
  <c r="W4" i="2"/>
  <c r="AG32" i="6"/>
  <c r="X35" i="6"/>
  <c r="X36" i="6" s="1"/>
  <c r="AA36" i="6" s="1"/>
  <c r="AB34" i="6" l="1"/>
  <c r="Z34" i="6"/>
  <c r="AA34" i="6"/>
  <c r="AC34" i="6"/>
  <c r="AG34" i="6" s="1"/>
  <c r="Y34" i="6"/>
  <c r="AD34" i="6"/>
  <c r="Y4" i="2"/>
  <c r="W3" i="2"/>
  <c r="AE35" i="6"/>
  <c r="AF35" i="6" s="1"/>
  <c r="X37" i="6"/>
  <c r="AE37" i="6" s="1"/>
  <c r="AF37" i="6" s="1"/>
  <c r="AD36" i="6"/>
  <c r="AB35" i="6"/>
  <c r="AC36" i="6"/>
  <c r="AC35" i="6"/>
  <c r="AE36" i="6"/>
  <c r="AF36" i="6" s="1"/>
  <c r="Z35" i="6"/>
  <c r="AB36" i="6"/>
  <c r="AD35" i="6"/>
  <c r="Z36" i="6"/>
  <c r="Y36" i="6"/>
  <c r="AA35" i="6"/>
  <c r="Y35" i="6"/>
  <c r="AG35" i="6" l="1"/>
  <c r="X38" i="6"/>
  <c r="AA38" i="6" s="1"/>
  <c r="Y3" i="2"/>
  <c r="W2" i="2"/>
  <c r="Y2" i="2" s="1"/>
  <c r="AA37" i="6"/>
  <c r="AD37" i="6"/>
  <c r="AG36" i="6"/>
  <c r="Y37" i="6"/>
  <c r="Z37" i="6"/>
  <c r="AB37" i="6"/>
  <c r="AC37" i="6"/>
  <c r="AG37" i="6" s="1"/>
  <c r="X39" i="6"/>
  <c r="X40" i="6" s="1"/>
  <c r="AD40" i="6" s="1"/>
  <c r="Y38" i="6" l="1"/>
  <c r="AC38" i="6"/>
  <c r="AD38" i="6"/>
  <c r="AE38" i="6"/>
  <c r="AF38" i="6" s="1"/>
  <c r="AB38" i="6"/>
  <c r="Z38" i="6"/>
  <c r="X41" i="6"/>
  <c r="AA41" i="6" s="1"/>
  <c r="AE40" i="6"/>
  <c r="AF40" i="6" s="1"/>
  <c r="Z40" i="6"/>
  <c r="AB40" i="6"/>
  <c r="AA40" i="6"/>
  <c r="Y40" i="6"/>
  <c r="AC40" i="6"/>
  <c r="AE39" i="6"/>
  <c r="AF39" i="6" s="1"/>
  <c r="AB39" i="6"/>
  <c r="AD39" i="6"/>
  <c r="AC39" i="6"/>
  <c r="AA39" i="6"/>
  <c r="Z39" i="6"/>
  <c r="Y39" i="6"/>
  <c r="AG38" i="6" l="1"/>
  <c r="AG40" i="6"/>
  <c r="AC41" i="6"/>
  <c r="X42" i="6"/>
  <c r="AE42" i="6" s="1"/>
  <c r="AF42" i="6" s="1"/>
  <c r="AB41" i="6"/>
  <c r="AE41" i="6"/>
  <c r="AF41" i="6" s="1"/>
  <c r="Z41" i="6"/>
  <c r="AD41" i="6"/>
  <c r="Y41" i="6"/>
  <c r="AG39" i="6"/>
  <c r="X43" i="6" l="1"/>
  <c r="AD43" i="6" s="1"/>
  <c r="AB42" i="6"/>
  <c r="AD42" i="6"/>
  <c r="AC42" i="6"/>
  <c r="AG42" i="6" s="1"/>
  <c r="AA42" i="6"/>
  <c r="Z42" i="6"/>
  <c r="Y42" i="6"/>
  <c r="AG41" i="6"/>
  <c r="X44" i="6"/>
  <c r="AA43" i="6" l="1"/>
  <c r="AB43" i="6"/>
  <c r="AE43" i="6"/>
  <c r="AF43" i="6" s="1"/>
  <c r="AC43" i="6"/>
  <c r="Z43" i="6"/>
  <c r="Y43" i="6"/>
  <c r="X45" i="6"/>
  <c r="AE44" i="6"/>
  <c r="AF44" i="6" s="1"/>
  <c r="Y44" i="6"/>
  <c r="AA44" i="6"/>
  <c r="AC44" i="6"/>
  <c r="AD44" i="6"/>
  <c r="AB44" i="6"/>
  <c r="Z44" i="6"/>
  <c r="AG43" i="6" l="1"/>
  <c r="AG44" i="6"/>
  <c r="AE45" i="6"/>
  <c r="AF45" i="6" s="1"/>
  <c r="AB45" i="6"/>
  <c r="AD45" i="6"/>
  <c r="AA45" i="6"/>
  <c r="AC45" i="6"/>
  <c r="Y45" i="6"/>
  <c r="Z45" i="6"/>
  <c r="X46" i="6"/>
  <c r="AG45" i="6" l="1"/>
  <c r="X47" i="6"/>
  <c r="Z46" i="6"/>
  <c r="AD46" i="6"/>
  <c r="AA46" i="6"/>
  <c r="AE46" i="6"/>
  <c r="AF46" i="6" s="1"/>
  <c r="AB46" i="6"/>
  <c r="Y46" i="6"/>
  <c r="AC46" i="6"/>
  <c r="AG46" i="6" l="1"/>
  <c r="Z47" i="6"/>
  <c r="AA47" i="6"/>
  <c r="Y47" i="6"/>
  <c r="AB47" i="6"/>
  <c r="AE47" i="6"/>
  <c r="AF47" i="6" s="1"/>
  <c r="AD47" i="6"/>
  <c r="AC47" i="6"/>
  <c r="X48" i="6"/>
  <c r="AG47" i="6" l="1"/>
  <c r="Y48" i="6"/>
  <c r="AC48" i="6"/>
  <c r="Z48" i="6"/>
  <c r="AE48" i="6"/>
  <c r="AF48" i="6" s="1"/>
  <c r="AD48" i="6"/>
  <c r="AB48" i="6"/>
  <c r="AA48" i="6"/>
  <c r="X49" i="6"/>
  <c r="Z49" i="6" l="1"/>
  <c r="Y49" i="6"/>
  <c r="AE49" i="6"/>
  <c r="AF49" i="6" s="1"/>
  <c r="AC49" i="6"/>
  <c r="AD49" i="6"/>
  <c r="AB49" i="6"/>
  <c r="AA49" i="6"/>
  <c r="X50" i="6"/>
  <c r="AG48" i="6"/>
  <c r="AG49" i="6" l="1"/>
  <c r="X51" i="6"/>
  <c r="X52" i="6" s="1"/>
  <c r="AE50" i="6"/>
  <c r="AF50" i="6" s="1"/>
  <c r="AD50" i="6"/>
  <c r="Y50" i="6"/>
  <c r="Z50" i="6"/>
  <c r="AB50" i="6"/>
  <c r="AA50" i="6"/>
  <c r="AC50" i="6"/>
  <c r="AG50" i="6" l="1"/>
  <c r="AC52" i="6"/>
  <c r="AD52" i="6"/>
  <c r="AA52" i="6"/>
  <c r="Y52" i="6"/>
  <c r="Z52" i="6"/>
  <c r="AE52" i="6"/>
  <c r="AF52" i="6" s="1"/>
  <c r="AB52" i="6"/>
  <c r="X53" i="6"/>
  <c r="Z51" i="6"/>
  <c r="AC51" i="6"/>
  <c r="AE51" i="6"/>
  <c r="AF51" i="6" s="1"/>
  <c r="AD51" i="6"/>
  <c r="AA51" i="6"/>
  <c r="Y51" i="6"/>
  <c r="AB51" i="6"/>
  <c r="Y53" i="6" l="1"/>
  <c r="AE53" i="6"/>
  <c r="AF53" i="6" s="1"/>
  <c r="AC53" i="6"/>
  <c r="AA53" i="6"/>
  <c r="AD53" i="6"/>
  <c r="Z53" i="6"/>
  <c r="AB53" i="6"/>
  <c r="X54" i="6"/>
  <c r="AG52" i="6"/>
  <c r="AG51" i="6"/>
  <c r="AG53" i="6" l="1"/>
  <c r="Y54" i="6"/>
  <c r="AA54" i="6"/>
  <c r="AC54" i="6"/>
  <c r="AD54" i="6"/>
  <c r="AE54" i="6"/>
  <c r="AF54" i="6" s="1"/>
  <c r="Z54" i="6"/>
  <c r="AB54" i="6"/>
  <c r="X55" i="6"/>
  <c r="AA55" i="6" l="1"/>
  <c r="AB55" i="6"/>
  <c r="Y55" i="6"/>
  <c r="AE55" i="6"/>
  <c r="AF55" i="6" s="1"/>
  <c r="AD55" i="6"/>
  <c r="AC55" i="6"/>
  <c r="Z55" i="6"/>
  <c r="X56" i="6"/>
  <c r="AG54" i="6"/>
  <c r="AG55" i="6" l="1"/>
  <c r="AB56" i="6"/>
  <c r="Z56" i="6"/>
  <c r="AE56" i="6"/>
  <c r="AF56" i="6" s="1"/>
  <c r="Y56" i="6"/>
  <c r="AA56" i="6"/>
  <c r="AD56" i="6"/>
  <c r="AC56" i="6"/>
  <c r="X57" i="6"/>
  <c r="AG56" i="6" l="1"/>
  <c r="AA57" i="6"/>
  <c r="Z57" i="6"/>
  <c r="AD57" i="6"/>
  <c r="AC57" i="6"/>
  <c r="Y57" i="6"/>
  <c r="AE57" i="6"/>
  <c r="AF57" i="6" s="1"/>
  <c r="AB57" i="6"/>
  <c r="X58" i="6"/>
  <c r="X59" i="6" l="1"/>
  <c r="AB58" i="6"/>
  <c r="AD58" i="6"/>
  <c r="AC58" i="6"/>
  <c r="AE58" i="6"/>
  <c r="AF58" i="6" s="1"/>
  <c r="Y58" i="6"/>
  <c r="AA58" i="6"/>
  <c r="Z58" i="6"/>
  <c r="AG57" i="6"/>
  <c r="AB59" i="6" l="1"/>
  <c r="AC59" i="6"/>
  <c r="AD59" i="6"/>
  <c r="Y59" i="6"/>
  <c r="AA59" i="6"/>
  <c r="Z59" i="6"/>
  <c r="AE59" i="6"/>
  <c r="AF59" i="6" s="1"/>
  <c r="X60" i="6"/>
  <c r="AG58" i="6"/>
  <c r="AG59" i="6" l="1"/>
  <c r="Z60" i="6"/>
  <c r="AE60" i="6"/>
  <c r="AF60" i="6" s="1"/>
  <c r="AA60" i="6"/>
  <c r="Y60" i="6"/>
  <c r="AD60" i="6"/>
  <c r="AB60" i="6"/>
  <c r="AC60" i="6"/>
  <c r="X61" i="6"/>
  <c r="AG60" i="6" l="1"/>
  <c r="AD61" i="6"/>
  <c r="AB61" i="6"/>
  <c r="Y61" i="6"/>
  <c r="AA61" i="6"/>
  <c r="AE61" i="6"/>
  <c r="AF61" i="6" s="1"/>
  <c r="Z61" i="6"/>
  <c r="AC61" i="6"/>
  <c r="X62" i="6"/>
  <c r="Y62" i="6" l="1"/>
  <c r="AD62" i="6"/>
  <c r="AB62" i="6"/>
  <c r="AC62" i="6"/>
  <c r="AA62" i="6"/>
  <c r="AE62" i="6"/>
  <c r="AF62" i="6" s="1"/>
  <c r="Z62" i="6"/>
  <c r="X63" i="6"/>
  <c r="AG61" i="6"/>
  <c r="AB63" i="6" l="1"/>
  <c r="AC63" i="6"/>
  <c r="AA63" i="6"/>
  <c r="AE63" i="6"/>
  <c r="AF63" i="6" s="1"/>
  <c r="Z63" i="6"/>
  <c r="Y63" i="6"/>
  <c r="AD63" i="6"/>
  <c r="X64" i="6"/>
  <c r="AG62" i="6"/>
  <c r="X65" i="6" l="1"/>
  <c r="Z64" i="6"/>
  <c r="AE64" i="6"/>
  <c r="AF64" i="6" s="1"/>
  <c r="AC64" i="6"/>
  <c r="Y64" i="6"/>
  <c r="AA64" i="6"/>
  <c r="AD64" i="6"/>
  <c r="AB64" i="6"/>
  <c r="AG63" i="6"/>
  <c r="AG64" i="6" l="1"/>
  <c r="AC65" i="6"/>
  <c r="AA65" i="6"/>
  <c r="Y65" i="6"/>
  <c r="AE65" i="6"/>
  <c r="AF65" i="6" s="1"/>
  <c r="AB65" i="6"/>
  <c r="AD65" i="6"/>
  <c r="Z65" i="6"/>
  <c r="X66" i="6"/>
  <c r="Z66" i="6" l="1"/>
  <c r="AD66" i="6"/>
  <c r="Y66" i="6"/>
  <c r="AC66" i="6"/>
  <c r="AB66" i="6"/>
  <c r="AE66" i="6"/>
  <c r="AF66" i="6" s="1"/>
  <c r="AA66" i="6"/>
  <c r="X67" i="6"/>
  <c r="AG65" i="6"/>
  <c r="AG66" i="6" l="1"/>
  <c r="Y67" i="6"/>
  <c r="AC67" i="6"/>
  <c r="AE67" i="6"/>
  <c r="AF67" i="6" s="1"/>
  <c r="AB67" i="6"/>
  <c r="AA67" i="6"/>
  <c r="Z67" i="6"/>
  <c r="AD67" i="6"/>
  <c r="X68" i="6"/>
  <c r="X119" i="6"/>
  <c r="AG67" i="6" l="1"/>
  <c r="Y68" i="6"/>
  <c r="AE68" i="6"/>
  <c r="AF68" i="6" s="1"/>
  <c r="AA68" i="6"/>
  <c r="AD68" i="6"/>
  <c r="AB68" i="6"/>
  <c r="AC68" i="6"/>
  <c r="Z68" i="6"/>
  <c r="X69" i="6"/>
  <c r="AD119" i="6"/>
  <c r="AC119" i="6"/>
  <c r="Y119" i="6"/>
  <c r="AB119" i="6"/>
  <c r="AA119" i="6"/>
  <c r="Z119" i="6"/>
  <c r="AE119" i="6"/>
  <c r="AF119" i="6" s="1"/>
  <c r="AG68" i="6" l="1"/>
  <c r="AD69" i="6"/>
  <c r="Y69" i="6"/>
  <c r="AB69" i="6"/>
  <c r="AE69" i="6"/>
  <c r="AF69" i="6" s="1"/>
  <c r="Z69" i="6"/>
  <c r="AC69" i="6"/>
  <c r="AA69" i="6"/>
  <c r="X70" i="6"/>
  <c r="AG119" i="6"/>
  <c r="X121" i="6"/>
  <c r="AG69" i="6" l="1"/>
  <c r="Z70" i="6"/>
  <c r="AA70" i="6"/>
  <c r="AB70" i="6"/>
  <c r="AC70" i="6"/>
  <c r="AD70" i="6"/>
  <c r="AE70" i="6"/>
  <c r="AF70" i="6" s="1"/>
  <c r="Y70" i="6"/>
  <c r="X71" i="6"/>
  <c r="AB121" i="6"/>
  <c r="AA121" i="6"/>
  <c r="Z121" i="6"/>
  <c r="Y121" i="6"/>
  <c r="AE121" i="6"/>
  <c r="AF121" i="6" s="1"/>
  <c r="AD121" i="6"/>
  <c r="AC121" i="6"/>
  <c r="AG70" i="6" l="1"/>
  <c r="AE71" i="6"/>
  <c r="AF71" i="6" s="1"/>
  <c r="Y71" i="6"/>
  <c r="AB71" i="6"/>
  <c r="AC71" i="6"/>
  <c r="Z71" i="6"/>
  <c r="AD71" i="6"/>
  <c r="AA71" i="6"/>
  <c r="X72" i="6"/>
  <c r="AG121" i="6"/>
  <c r="AG71" i="6" l="1"/>
  <c r="AC72" i="6"/>
  <c r="AE72" i="6"/>
  <c r="AF72" i="6" s="1"/>
  <c r="Z72" i="6"/>
  <c r="Y72" i="6"/>
  <c r="AB72" i="6"/>
  <c r="AA72" i="6"/>
  <c r="AD72" i="6"/>
  <c r="X73" i="6"/>
  <c r="AD73" i="6" l="1"/>
  <c r="Y73" i="6"/>
  <c r="AA73" i="6"/>
  <c r="AC73" i="6"/>
  <c r="AB73" i="6"/>
  <c r="AE73" i="6"/>
  <c r="AF73" i="6" s="1"/>
  <c r="Z73" i="6"/>
  <c r="X74" i="6"/>
  <c r="AG72" i="6"/>
  <c r="AG73" i="6" l="1"/>
  <c r="AE74" i="6"/>
  <c r="AF74" i="6" s="1"/>
  <c r="Z74" i="6"/>
  <c r="AB74" i="6"/>
  <c r="AD74" i="6"/>
  <c r="AA74" i="6"/>
  <c r="Y74" i="6"/>
  <c r="AC74" i="6"/>
  <c r="X75" i="6"/>
  <c r="AG74" i="6" l="1"/>
  <c r="Z75" i="6"/>
  <c r="Y75" i="6"/>
  <c r="AB75" i="6"/>
  <c r="AD75" i="6"/>
  <c r="AE75" i="6"/>
  <c r="AF75" i="6" s="1"/>
  <c r="AC75" i="6"/>
  <c r="AA75" i="6"/>
  <c r="X76" i="6"/>
  <c r="AG75" i="6" l="1"/>
  <c r="AB76" i="6"/>
  <c r="Y76" i="6"/>
  <c r="Z76" i="6"/>
  <c r="AA76" i="6"/>
  <c r="AE76" i="6"/>
  <c r="AF76" i="6" s="1"/>
  <c r="AC76" i="6"/>
  <c r="AD76" i="6"/>
  <c r="X77" i="6"/>
  <c r="X129" i="6"/>
  <c r="AG76" i="6" l="1"/>
  <c r="AC77" i="6"/>
  <c r="Y77" i="6"/>
  <c r="AA77" i="6"/>
  <c r="AE77" i="6"/>
  <c r="AF77" i="6" s="1"/>
  <c r="AD77" i="6"/>
  <c r="Z77" i="6"/>
  <c r="AB77" i="6"/>
  <c r="X78" i="6"/>
  <c r="AE129" i="6"/>
  <c r="AF129" i="6" s="1"/>
  <c r="AD129" i="6"/>
  <c r="AA129" i="6"/>
  <c r="AC129" i="6"/>
  <c r="AB129" i="6"/>
  <c r="Z129" i="6"/>
  <c r="Y129" i="6"/>
  <c r="AC78" i="6" l="1"/>
  <c r="AB78" i="6"/>
  <c r="AE78" i="6"/>
  <c r="AF78" i="6" s="1"/>
  <c r="AA78" i="6"/>
  <c r="Z78" i="6"/>
  <c r="Y78" i="6"/>
  <c r="AD78" i="6"/>
  <c r="X79" i="6"/>
  <c r="AG77" i="6"/>
  <c r="AG129" i="6"/>
  <c r="AB79" i="6" l="1"/>
  <c r="Y79" i="6"/>
  <c r="Z79" i="6"/>
  <c r="AE79" i="6"/>
  <c r="AF79" i="6" s="1"/>
  <c r="AC79" i="6"/>
  <c r="AD79" i="6"/>
  <c r="AA79" i="6"/>
  <c r="X80" i="6"/>
  <c r="AG78" i="6"/>
  <c r="X132" i="6"/>
  <c r="AG79" i="6" l="1"/>
  <c r="AD80" i="6"/>
  <c r="Y80" i="6"/>
  <c r="AB80" i="6"/>
  <c r="Z80" i="6"/>
  <c r="AA80" i="6"/>
  <c r="AC80" i="6"/>
  <c r="AE80" i="6"/>
  <c r="AF80" i="6" s="1"/>
  <c r="X81" i="6"/>
  <c r="Y132" i="6"/>
  <c r="AB132" i="6"/>
  <c r="Z132" i="6"/>
  <c r="AA132" i="6"/>
  <c r="AE132" i="6"/>
  <c r="AD132" i="6"/>
  <c r="AC132" i="6"/>
  <c r="AB81" i="6" l="1"/>
  <c r="AD81" i="6"/>
  <c r="Z81" i="6"/>
  <c r="AE81" i="6"/>
  <c r="AF81" i="6" s="1"/>
  <c r="AC81" i="6"/>
  <c r="AA81" i="6"/>
  <c r="Y81" i="6"/>
  <c r="X82" i="6"/>
  <c r="AG80" i="6"/>
  <c r="AG132" i="6"/>
  <c r="AF132" i="6"/>
  <c r="AG81" i="6" l="1"/>
  <c r="X83" i="6"/>
  <c r="AA82" i="6"/>
  <c r="AE82" i="6"/>
  <c r="AF82" i="6" s="1"/>
  <c r="Z82" i="6"/>
  <c r="Y82" i="6"/>
  <c r="AD82" i="6"/>
  <c r="AC82" i="6"/>
  <c r="AB82" i="6"/>
  <c r="AG82" i="6" l="1"/>
  <c r="Y83" i="6"/>
  <c r="AB83" i="6"/>
  <c r="AA83" i="6"/>
  <c r="AE83" i="6"/>
  <c r="AF83" i="6" s="1"/>
  <c r="AD83" i="6"/>
  <c r="AC83" i="6"/>
  <c r="Z83" i="6"/>
  <c r="X84" i="6"/>
  <c r="Y84" i="6" l="1"/>
  <c r="AC84" i="6"/>
  <c r="AD84" i="6"/>
  <c r="AA84" i="6"/>
  <c r="Z84" i="6"/>
  <c r="AB84" i="6"/>
  <c r="AE84" i="6"/>
  <c r="AF84" i="6" s="1"/>
  <c r="X85" i="6"/>
  <c r="AG83" i="6"/>
  <c r="AC85" i="6" l="1"/>
  <c r="Y85" i="6"/>
  <c r="AA85" i="6"/>
  <c r="Z85" i="6"/>
  <c r="AD85" i="6"/>
  <c r="AE85" i="6"/>
  <c r="AF85" i="6" s="1"/>
  <c r="AB85" i="6"/>
  <c r="X86" i="6"/>
  <c r="AG84" i="6"/>
  <c r="Z86" i="6" l="1"/>
  <c r="AB86" i="6"/>
  <c r="AC86" i="6"/>
  <c r="AD86" i="6"/>
  <c r="Y86" i="6"/>
  <c r="AE86" i="6"/>
  <c r="AF86" i="6" s="1"/>
  <c r="AA86" i="6"/>
  <c r="X87" i="6"/>
  <c r="AG85" i="6"/>
  <c r="AC87" i="6" l="1"/>
  <c r="AD87" i="6"/>
  <c r="AB87" i="6"/>
  <c r="AE87" i="6"/>
  <c r="AF87" i="6" s="1"/>
  <c r="Z87" i="6"/>
  <c r="Y87" i="6"/>
  <c r="AA87" i="6"/>
  <c r="X88" i="6"/>
  <c r="X89" i="6" s="1"/>
  <c r="AG86" i="6"/>
  <c r="AD89" i="6" l="1"/>
  <c r="AB89" i="6"/>
  <c r="Z89" i="6"/>
  <c r="AA89" i="6"/>
  <c r="AC89" i="6"/>
  <c r="AE89" i="6"/>
  <c r="AF89" i="6" s="1"/>
  <c r="Y89" i="6"/>
  <c r="X90" i="6"/>
  <c r="AG87" i="6"/>
  <c r="AA88" i="6"/>
  <c r="AC88" i="6"/>
  <c r="AE88" i="6"/>
  <c r="AF88" i="6" s="1"/>
  <c r="Z88" i="6"/>
  <c r="Y88" i="6"/>
  <c r="AD88" i="6"/>
  <c r="AB88" i="6"/>
  <c r="AG88" i="6" l="1"/>
  <c r="Z90" i="6"/>
  <c r="AB90" i="6"/>
  <c r="AA90" i="6"/>
  <c r="AE90" i="6"/>
  <c r="AF90" i="6" s="1"/>
  <c r="AC90" i="6"/>
  <c r="AD90" i="6"/>
  <c r="Y90" i="6"/>
  <c r="X91" i="6"/>
  <c r="X92" i="6" s="1"/>
  <c r="AG89" i="6"/>
  <c r="AE92" i="6" l="1"/>
  <c r="AF92" i="6" s="1"/>
  <c r="AC92" i="6"/>
  <c r="Y92" i="6"/>
  <c r="Z92" i="6"/>
  <c r="AB92" i="6"/>
  <c r="AD92" i="6"/>
  <c r="AA92" i="6"/>
  <c r="AG90" i="6"/>
  <c r="AB91" i="6"/>
  <c r="AA91" i="6"/>
  <c r="AC91" i="6"/>
  <c r="Y91" i="6"/>
  <c r="Z91" i="6"/>
  <c r="AD91" i="6"/>
  <c r="AE91" i="6"/>
  <c r="AF91" i="6" s="1"/>
  <c r="X93" i="6"/>
  <c r="X94" i="6" s="1"/>
  <c r="AG92" i="6" l="1"/>
  <c r="AD94" i="6"/>
  <c r="AC94" i="6"/>
  <c r="AE94" i="6"/>
  <c r="AF94" i="6" s="1"/>
  <c r="AB94" i="6"/>
  <c r="Y94" i="6"/>
  <c r="AA94" i="6"/>
  <c r="Z94" i="6"/>
  <c r="AG91" i="6"/>
  <c r="Y93" i="6"/>
  <c r="AA93" i="6"/>
  <c r="AB93" i="6"/>
  <c r="AC93" i="6"/>
  <c r="Z93" i="6"/>
  <c r="AD93" i="6"/>
  <c r="AE93" i="6"/>
  <c r="AF93" i="6" s="1"/>
  <c r="X95" i="6"/>
  <c r="AG94" i="6" l="1"/>
  <c r="AG93" i="6"/>
  <c r="AE95" i="6"/>
  <c r="AF95" i="6" s="1"/>
  <c r="Y95" i="6"/>
  <c r="Z95" i="6"/>
  <c r="AB95" i="6"/>
  <c r="AD95" i="6"/>
  <c r="AC95" i="6"/>
  <c r="AA95" i="6"/>
  <c r="X96" i="6"/>
  <c r="AG95" i="6" l="1"/>
  <c r="AC96" i="6"/>
  <c r="Z96" i="6"/>
  <c r="AB96" i="6"/>
  <c r="AE96" i="6"/>
  <c r="AF96" i="6" s="1"/>
  <c r="AD96" i="6"/>
  <c r="Y96" i="6"/>
  <c r="AA96" i="6"/>
  <c r="X97" i="6"/>
  <c r="AC97" i="6" l="1"/>
  <c r="AB97" i="6"/>
  <c r="AD97" i="6"/>
  <c r="Y97" i="6"/>
  <c r="Z97" i="6"/>
  <c r="AE97" i="6"/>
  <c r="AF97" i="6" s="1"/>
  <c r="AA97" i="6"/>
  <c r="X98" i="6"/>
  <c r="AG96" i="6"/>
  <c r="AD98" i="6" l="1"/>
  <c r="AE98" i="6"/>
  <c r="AF98" i="6" s="1"/>
  <c r="Y98" i="6"/>
  <c r="AA98" i="6"/>
  <c r="AC98" i="6"/>
  <c r="Z98" i="6"/>
  <c r="AB98" i="6"/>
  <c r="X99" i="6"/>
  <c r="X100" i="6" s="1"/>
  <c r="AG97" i="6"/>
  <c r="AB100" i="6" l="1"/>
  <c r="AC100" i="6"/>
  <c r="AE100" i="6"/>
  <c r="AF100" i="6" s="1"/>
  <c r="Y100" i="6"/>
  <c r="Z100" i="6"/>
  <c r="AA100" i="6"/>
  <c r="AD100" i="6"/>
  <c r="AG98" i="6"/>
  <c r="Y99" i="6"/>
  <c r="Z99" i="6"/>
  <c r="AC99" i="6"/>
  <c r="AB99" i="6"/>
  <c r="AA99" i="6"/>
  <c r="AE99" i="6"/>
  <c r="AF99" i="6" s="1"/>
  <c r="AD99" i="6"/>
  <c r="X101" i="6"/>
  <c r="AG100" i="6" l="1"/>
  <c r="Z101" i="6"/>
  <c r="AA101" i="6"/>
  <c r="AC101" i="6"/>
  <c r="AD101" i="6"/>
  <c r="AB101" i="6"/>
  <c r="AE101" i="6"/>
  <c r="AF101" i="6" s="1"/>
  <c r="Y101" i="6"/>
  <c r="X102" i="6"/>
  <c r="AG99" i="6"/>
  <c r="AG101" i="6" l="1"/>
  <c r="AC102" i="6"/>
  <c r="AA102" i="6"/>
  <c r="AB102" i="6"/>
  <c r="AD102" i="6"/>
  <c r="Z102" i="6"/>
  <c r="AE102" i="6"/>
  <c r="AF102" i="6" s="1"/>
  <c r="Y102" i="6"/>
  <c r="X103" i="6"/>
  <c r="AG102" i="6" l="1"/>
  <c r="AB103" i="6"/>
  <c r="AE103" i="6"/>
  <c r="AF103" i="6" s="1"/>
  <c r="Y103" i="6"/>
  <c r="Z103" i="6"/>
  <c r="AC103" i="6"/>
  <c r="AD103" i="6"/>
  <c r="AA103" i="6"/>
  <c r="X104" i="6"/>
  <c r="X105" i="6" s="1"/>
  <c r="AE105" i="6" l="1"/>
  <c r="AF105" i="6" s="1"/>
  <c r="AA105" i="6"/>
  <c r="Y105" i="6"/>
  <c r="AC105" i="6"/>
  <c r="AB105" i="6"/>
  <c r="AD105" i="6"/>
  <c r="Z105" i="6"/>
  <c r="AG103" i="6"/>
  <c r="AC104" i="6"/>
  <c r="AD104" i="6"/>
  <c r="AA104" i="6"/>
  <c r="Z104" i="6"/>
  <c r="AE104" i="6"/>
  <c r="AF104" i="6" s="1"/>
  <c r="AB104" i="6"/>
  <c r="Y104" i="6"/>
  <c r="X106" i="6"/>
  <c r="AG105" i="6" l="1"/>
  <c r="AG104" i="6"/>
  <c r="X107" i="6"/>
  <c r="AA106" i="6"/>
  <c r="AD106" i="6"/>
  <c r="AC106" i="6"/>
  <c r="AE106" i="6"/>
  <c r="AF106" i="6" s="1"/>
  <c r="Y106" i="6"/>
  <c r="AB106" i="6"/>
  <c r="Z106" i="6"/>
  <c r="AG106" i="6" l="1"/>
  <c r="AD107" i="6"/>
  <c r="AB107" i="6"/>
  <c r="Z107" i="6"/>
  <c r="Y107" i="6"/>
  <c r="AE107" i="6"/>
  <c r="AF107" i="6" s="1"/>
  <c r="AC107" i="6"/>
  <c r="AA107" i="6"/>
  <c r="X108" i="6"/>
  <c r="AG107" i="6" l="1"/>
  <c r="Y108" i="6"/>
  <c r="AC108" i="6"/>
  <c r="AB108" i="6"/>
  <c r="AD108" i="6"/>
  <c r="Z108" i="6"/>
  <c r="AE108" i="6"/>
  <c r="AF108" i="6" s="1"/>
  <c r="AA108" i="6"/>
  <c r="X109" i="6"/>
  <c r="AG108" i="6" l="1"/>
  <c r="AC109" i="6"/>
  <c r="Y109" i="6"/>
  <c r="AB109" i="6"/>
  <c r="AA109" i="6"/>
  <c r="AE109" i="6"/>
  <c r="AF109" i="6" s="1"/>
  <c r="AD109" i="6"/>
  <c r="Z109" i="6"/>
  <c r="X110" i="6"/>
  <c r="X111" i="6" s="1"/>
  <c r="AD111" i="6" l="1"/>
  <c r="Z111" i="6"/>
  <c r="AA111" i="6"/>
  <c r="AB111" i="6"/>
  <c r="AC111" i="6"/>
  <c r="Y111" i="6"/>
  <c r="AE111" i="6"/>
  <c r="AF111" i="6" s="1"/>
  <c r="AG109" i="6"/>
  <c r="AB110" i="6"/>
  <c r="AC110" i="6"/>
  <c r="Z110" i="6"/>
  <c r="Y110" i="6"/>
  <c r="AE110" i="6"/>
  <c r="AF110" i="6" s="1"/>
  <c r="AD110" i="6"/>
  <c r="AA110" i="6"/>
  <c r="X112" i="6"/>
  <c r="X113" i="6" s="1"/>
  <c r="AA113" i="6" l="1"/>
  <c r="AD113" i="6"/>
  <c r="AE113" i="6"/>
  <c r="AF113" i="6" s="1"/>
  <c r="AB113" i="6"/>
  <c r="Z113" i="6"/>
  <c r="AC113" i="6"/>
  <c r="AG113" i="6" s="1"/>
  <c r="Y113" i="6"/>
  <c r="AG111" i="6"/>
  <c r="AG110" i="6"/>
  <c r="X114" i="6"/>
  <c r="X115" i="6" s="1"/>
  <c r="AA112" i="6"/>
  <c r="AE112" i="6"/>
  <c r="AF112" i="6" s="1"/>
  <c r="Z112" i="6"/>
  <c r="Y112" i="6"/>
  <c r="AC112" i="6"/>
  <c r="AB112" i="6"/>
  <c r="AD112" i="6"/>
  <c r="Y115" i="6" l="1"/>
  <c r="AE115" i="6"/>
  <c r="AF115" i="6" s="1"/>
  <c r="AB115" i="6"/>
  <c r="AC115" i="6"/>
  <c r="Z115" i="6"/>
  <c r="AD115" i="6"/>
  <c r="AA115" i="6"/>
  <c r="AG112" i="6"/>
  <c r="Y114" i="6"/>
  <c r="Z114" i="6"/>
  <c r="AB114" i="6"/>
  <c r="AC114" i="6"/>
  <c r="AA114" i="6"/>
  <c r="AD114" i="6"/>
  <c r="AE114" i="6"/>
  <c r="AF114" i="6" s="1"/>
  <c r="X116" i="6"/>
  <c r="AG115" i="6" l="1"/>
  <c r="AG114" i="6"/>
  <c r="AB116" i="6"/>
  <c r="Y116" i="6"/>
  <c r="AC116" i="6"/>
  <c r="AA116" i="6"/>
  <c r="AE116" i="6"/>
  <c r="AF116" i="6" s="1"/>
  <c r="Z116" i="6"/>
  <c r="AD116" i="6"/>
  <c r="X117" i="6"/>
  <c r="AG116" i="6" l="1"/>
  <c r="AC117" i="6"/>
  <c r="AB117" i="6"/>
  <c r="AA117" i="6"/>
  <c r="AE117" i="6"/>
  <c r="AF117" i="6" s="1"/>
  <c r="AD117" i="6"/>
  <c r="Z117" i="6"/>
  <c r="Y117" i="6"/>
  <c r="X118" i="6"/>
  <c r="AG117" i="6" l="1"/>
  <c r="AB118" i="6"/>
  <c r="AA118" i="6"/>
  <c r="AE118" i="6"/>
  <c r="AF118" i="6" s="1"/>
  <c r="Z118" i="6"/>
  <c r="Y118" i="6"/>
  <c r="AC118" i="6"/>
  <c r="AD118" i="6"/>
  <c r="X120" i="6"/>
  <c r="AG118" i="6" l="1"/>
  <c r="AH119" i="6"/>
  <c r="AA120" i="6"/>
  <c r="Z120" i="6"/>
  <c r="AC120" i="6"/>
  <c r="AB120" i="6"/>
  <c r="AD120" i="6"/>
  <c r="AE120" i="6"/>
  <c r="AF120" i="6" s="1"/>
  <c r="Y120" i="6"/>
  <c r="X122" i="6"/>
  <c r="AG120" i="6" l="1"/>
  <c r="AC122" i="6"/>
  <c r="AE122" i="6"/>
  <c r="AF122" i="6" s="1"/>
  <c r="Z122" i="6"/>
  <c r="AD122" i="6"/>
  <c r="Y122" i="6"/>
  <c r="AB122" i="6"/>
  <c r="AA122" i="6"/>
  <c r="X123" i="6"/>
  <c r="AG122" i="6" l="1"/>
  <c r="X124" i="6"/>
  <c r="AA123" i="6"/>
  <c r="AE123" i="6"/>
  <c r="AF123" i="6" s="1"/>
  <c r="Z123" i="6"/>
  <c r="AC123" i="6"/>
  <c r="Y123" i="6"/>
  <c r="AB123" i="6"/>
  <c r="AD123" i="6"/>
  <c r="AH121" i="6"/>
  <c r="AG123" i="6" l="1"/>
  <c r="AD124" i="6"/>
  <c r="Z124" i="6"/>
  <c r="AE124" i="6"/>
  <c r="AF124" i="6" s="1"/>
  <c r="AC124" i="6"/>
  <c r="AB124" i="6"/>
  <c r="AA124" i="6"/>
  <c r="Y124" i="6"/>
  <c r="X125" i="6"/>
  <c r="AG124" i="6" l="1"/>
  <c r="AE125" i="6"/>
  <c r="AF125" i="6" s="1"/>
  <c r="AA125" i="6"/>
  <c r="Z125" i="6"/>
  <c r="AB125" i="6"/>
  <c r="AC125" i="6"/>
  <c r="AD125" i="6"/>
  <c r="Y125" i="6"/>
  <c r="X126" i="6"/>
  <c r="Y126" i="6" l="1"/>
  <c r="AA126" i="6"/>
  <c r="AD126" i="6"/>
  <c r="AE126" i="6"/>
  <c r="AF126" i="6" s="1"/>
  <c r="AC126" i="6"/>
  <c r="AB126" i="6"/>
  <c r="Z126" i="6"/>
  <c r="X127" i="6"/>
  <c r="AG125" i="6"/>
  <c r="AG126" i="6" l="1"/>
  <c r="Z127" i="6"/>
  <c r="Y127" i="6"/>
  <c r="AD127" i="6"/>
  <c r="AA127" i="6"/>
  <c r="AC127" i="6"/>
  <c r="AB127" i="6"/>
  <c r="AE127" i="6"/>
  <c r="AF127" i="6" s="1"/>
  <c r="X128" i="6"/>
  <c r="AB128" i="6" l="1"/>
  <c r="AE128" i="6"/>
  <c r="AF128" i="6" s="1"/>
  <c r="AA128" i="6"/>
  <c r="AD128" i="6"/>
  <c r="Z128" i="6"/>
  <c r="Y128" i="6"/>
  <c r="AC128" i="6"/>
  <c r="AG128" i="6" s="1"/>
  <c r="X130" i="6"/>
  <c r="AG127" i="6"/>
  <c r="AC130" i="6" l="1"/>
  <c r="AE130" i="6"/>
  <c r="AF130" i="6" s="1"/>
  <c r="Z130" i="6"/>
  <c r="Y130" i="6"/>
  <c r="AD130" i="6"/>
  <c r="AA130" i="6"/>
  <c r="AB130" i="6"/>
  <c r="X131" i="6"/>
  <c r="AH129" i="6"/>
  <c r="AA131" i="6" l="1"/>
  <c r="AC131" i="6"/>
  <c r="AB131" i="6"/>
  <c r="Z131" i="6"/>
  <c r="AD131" i="6"/>
  <c r="Y131" i="6"/>
  <c r="AE131" i="6"/>
  <c r="AF131" i="6" s="1"/>
  <c r="X133" i="6"/>
  <c r="AG130" i="6"/>
  <c r="X134" i="6" l="1"/>
  <c r="AE133" i="6"/>
  <c r="AF133" i="6" s="1"/>
  <c r="Y133" i="6"/>
  <c r="Z133" i="6"/>
  <c r="AB133" i="6"/>
  <c r="AC133" i="6"/>
  <c r="AD133" i="6"/>
  <c r="AA133" i="6"/>
  <c r="AG131" i="6"/>
  <c r="AG133" i="6" l="1"/>
  <c r="AH132" i="6"/>
  <c r="X135" i="6"/>
  <c r="Z134" i="6"/>
  <c r="AE134" i="6"/>
  <c r="AF134" i="6" s="1"/>
  <c r="AB134" i="6"/>
  <c r="AC134" i="6"/>
  <c r="AA134" i="6"/>
  <c r="AD134" i="6"/>
  <c r="Y134" i="6"/>
  <c r="AG134" i="6" l="1"/>
  <c r="X136" i="6"/>
  <c r="Z135" i="6"/>
  <c r="AE135" i="6"/>
  <c r="AF135" i="6" s="1"/>
  <c r="Y135" i="6"/>
  <c r="AA135" i="6"/>
  <c r="AC135" i="6"/>
  <c r="AD135" i="6"/>
  <c r="AB135" i="6"/>
  <c r="AG135" i="6" l="1"/>
  <c r="AB136" i="6"/>
  <c r="Z136" i="6"/>
  <c r="AC136" i="6"/>
  <c r="AA136" i="6"/>
  <c r="AE136" i="6"/>
  <c r="AF136" i="6" s="1"/>
  <c r="AD136" i="6"/>
  <c r="Y136" i="6"/>
  <c r="X137" i="6"/>
  <c r="AG136" i="6" l="1"/>
  <c r="Z137" i="6"/>
  <c r="Y137" i="6"/>
  <c r="AA137" i="6"/>
  <c r="AD137" i="6"/>
  <c r="AE137" i="6"/>
  <c r="AF137" i="6" s="1"/>
  <c r="AB137" i="6"/>
  <c r="AC137" i="6"/>
  <c r="X138" i="6"/>
  <c r="AG137" i="6" l="1"/>
  <c r="AC138" i="6"/>
  <c r="AA138" i="6"/>
  <c r="AE138" i="6"/>
  <c r="AF138" i="6" s="1"/>
  <c r="Y138" i="6"/>
  <c r="Z138" i="6"/>
  <c r="AB138" i="6"/>
  <c r="AD138" i="6"/>
  <c r="X139" i="6"/>
  <c r="AG138" i="6" l="1"/>
  <c r="AB139" i="6"/>
  <c r="Y139" i="6"/>
  <c r="Z139" i="6"/>
  <c r="AA139" i="6"/>
  <c r="AC139" i="6"/>
  <c r="AE139" i="6"/>
  <c r="AF139" i="6" s="1"/>
  <c r="AD139" i="6"/>
  <c r="X140" i="6"/>
  <c r="AG139" i="6" l="1"/>
  <c r="AD140" i="6"/>
  <c r="Y140" i="6"/>
  <c r="AB140" i="6"/>
  <c r="AC140" i="6"/>
  <c r="AA140" i="6"/>
  <c r="AE140" i="6"/>
  <c r="AF140" i="6" s="1"/>
  <c r="Z140" i="6"/>
  <c r="X142" i="6"/>
  <c r="AG140" i="6" l="1"/>
  <c r="AA142" i="6"/>
  <c r="Z142" i="6"/>
  <c r="AD142" i="6"/>
  <c r="Y142" i="6"/>
  <c r="AB142" i="6"/>
  <c r="AC142" i="6"/>
  <c r="AE142" i="6"/>
  <c r="AF142" i="6" s="1"/>
  <c r="X143" i="6"/>
  <c r="AG142" i="6" l="1"/>
  <c r="AC143" i="6"/>
  <c r="AE143" i="6"/>
  <c r="AF143" i="6" s="1"/>
  <c r="Z143" i="6"/>
  <c r="AD143" i="6"/>
  <c r="Y143" i="6"/>
  <c r="AB143" i="6"/>
  <c r="AA143" i="6"/>
  <c r="X144" i="6"/>
  <c r="AH141" i="6"/>
  <c r="AG143" i="6" l="1"/>
  <c r="AE144" i="6"/>
  <c r="AF144" i="6" s="1"/>
  <c r="Y144" i="6"/>
  <c r="Z144" i="6"/>
  <c r="AD144" i="6"/>
  <c r="AC144" i="6"/>
  <c r="AA144" i="6"/>
  <c r="AB144" i="6"/>
  <c r="X145" i="6"/>
  <c r="AG144" i="6" l="1"/>
  <c r="AD145" i="6"/>
  <c r="AE145" i="6"/>
  <c r="AF145" i="6" s="1"/>
  <c r="AC145" i="6"/>
  <c r="Z145" i="6"/>
  <c r="AA145" i="6"/>
  <c r="AB145" i="6"/>
  <c r="Y145" i="6"/>
  <c r="X146" i="6"/>
  <c r="AG145" i="6" l="1"/>
  <c r="AB146" i="6"/>
  <c r="Z146" i="6"/>
  <c r="AE146" i="6"/>
  <c r="AF146" i="6" s="1"/>
  <c r="Y146" i="6"/>
  <c r="AC146" i="6"/>
  <c r="AA146" i="6"/>
  <c r="AD146" i="6"/>
  <c r="X147" i="6"/>
  <c r="AG146" i="6" l="1"/>
  <c r="AB147" i="6"/>
  <c r="AE147" i="6"/>
  <c r="AF147" i="6" s="1"/>
  <c r="AA147" i="6"/>
  <c r="Z147" i="6"/>
  <c r="AC147" i="6"/>
  <c r="AD147" i="6"/>
  <c r="Y147" i="6"/>
  <c r="AG147" i="6" l="1"/>
  <c r="AH115" i="6" s="1"/>
  <c r="AH111" i="6" l="1"/>
  <c r="AH113" i="6"/>
  <c r="AH107" i="6"/>
  <c r="AH105" i="6"/>
  <c r="AH92" i="6"/>
  <c r="AH100" i="6"/>
  <c r="AH85" i="6"/>
  <c r="AH94" i="6"/>
  <c r="AH65" i="6"/>
  <c r="AH87" i="6"/>
  <c r="AH71" i="6"/>
  <c r="AH69" i="6"/>
  <c r="AH67" i="6"/>
  <c r="AH73" i="6"/>
  <c r="AH76" i="6"/>
  <c r="AH78" i="6"/>
  <c r="AH82" i="6"/>
  <c r="AH80" i="6"/>
  <c r="AH17" i="6"/>
  <c r="AH27" i="6"/>
  <c r="AH14" i="6"/>
  <c r="AH29" i="6"/>
  <c r="AH23" i="6"/>
  <c r="AH20" i="6"/>
  <c r="AH44" i="6"/>
  <c r="AH42" i="6"/>
  <c r="AH57" i="6"/>
  <c r="AH46" i="6"/>
  <c r="AH59" i="6"/>
  <c r="AH55" i="6"/>
  <c r="AH32" i="6"/>
  <c r="AH36" i="6"/>
  <c r="AH147" i="6"/>
  <c r="AH180" i="6"/>
  <c r="AH25" i="6"/>
  <c r="AH31" i="6"/>
  <c r="AH175" i="6"/>
  <c r="AH16" i="6"/>
  <c r="AH86" i="6"/>
  <c r="AH160" i="6"/>
  <c r="AH56" i="6"/>
  <c r="AH148" i="6"/>
  <c r="AH49" i="6"/>
  <c r="AH66" i="6"/>
  <c r="AH162" i="6"/>
  <c r="AH156" i="6"/>
  <c r="AH91" i="6"/>
  <c r="AH60" i="6"/>
  <c r="AH157" i="6"/>
  <c r="AH190" i="6"/>
  <c r="AH63" i="6"/>
  <c r="AH203" i="6"/>
  <c r="AH158" i="6"/>
  <c r="AH155" i="6"/>
  <c r="AH184" i="6"/>
  <c r="AH41" i="6"/>
  <c r="AH54" i="6"/>
  <c r="AH58" i="6"/>
  <c r="AH189" i="6"/>
  <c r="AH24" i="6"/>
  <c r="AH39" i="6"/>
  <c r="AH28" i="6"/>
  <c r="AH21" i="6"/>
  <c r="AH12" i="6"/>
  <c r="AH193" i="6"/>
  <c r="AH201" i="6"/>
  <c r="AH161" i="6"/>
  <c r="AH26" i="6"/>
  <c r="AH159" i="6"/>
  <c r="AH50" i="6"/>
  <c r="AH206" i="6"/>
  <c r="AH210" i="6"/>
  <c r="AH68" i="6"/>
  <c r="AH164" i="6"/>
  <c r="AH75" i="6"/>
  <c r="AH178" i="6"/>
  <c r="AH19" i="6"/>
  <c r="AH209" i="6"/>
  <c r="AH171" i="6"/>
  <c r="AH152" i="6"/>
  <c r="AH192" i="6"/>
  <c r="AH183" i="6"/>
  <c r="AH33" i="6"/>
  <c r="AH205" i="6"/>
  <c r="AH195" i="6"/>
  <c r="AH153" i="6"/>
  <c r="AH177" i="6"/>
  <c r="AH176" i="6"/>
  <c r="AH47" i="6"/>
  <c r="AH84" i="6"/>
  <c r="AH83" i="6"/>
  <c r="AH13" i="6"/>
  <c r="AH61" i="6"/>
  <c r="AH163" i="6"/>
  <c r="AH37" i="6"/>
  <c r="AH211" i="6"/>
  <c r="AH173" i="6"/>
  <c r="AH154" i="6"/>
  <c r="AH38" i="6"/>
  <c r="AH22" i="6"/>
  <c r="AH70" i="6"/>
  <c r="AH182" i="6"/>
  <c r="AH207" i="6"/>
  <c r="AH90" i="6"/>
  <c r="AH204" i="6"/>
  <c r="AH150" i="6"/>
  <c r="AH191" i="6"/>
  <c r="AH187" i="6"/>
  <c r="AH30" i="6"/>
  <c r="AH166" i="6"/>
  <c r="AH167" i="6"/>
  <c r="AH53" i="6"/>
  <c r="AH43" i="6"/>
  <c r="AH186" i="6"/>
  <c r="AH200" i="6"/>
  <c r="AH208" i="6"/>
  <c r="AH194" i="6"/>
  <c r="AH188" i="6"/>
  <c r="AH174" i="6"/>
  <c r="AH89" i="6"/>
  <c r="AH202" i="6"/>
  <c r="AH149" i="6"/>
  <c r="AH64" i="6"/>
  <c r="AH170" i="6"/>
  <c r="AH52" i="6"/>
  <c r="AH179" i="6"/>
  <c r="AH45" i="6"/>
  <c r="AH181" i="6"/>
  <c r="AH62" i="6"/>
  <c r="AH48" i="6"/>
  <c r="AH165" i="6"/>
  <c r="AH172" i="6"/>
  <c r="AH88" i="6"/>
  <c r="AH168" i="6"/>
  <c r="AH79" i="6"/>
  <c r="AH151" i="6"/>
  <c r="AH74" i="6"/>
  <c r="AH169" i="6"/>
  <c r="AH15" i="6"/>
  <c r="AH40" i="6"/>
  <c r="AH198" i="6"/>
  <c r="AH196" i="6"/>
  <c r="AH77" i="6"/>
  <c r="AH51" i="6"/>
  <c r="AH18" i="6"/>
  <c r="AH72" i="6"/>
  <c r="AH81" i="6"/>
  <c r="AH35" i="6"/>
  <c r="AH34" i="6"/>
  <c r="AH199" i="6"/>
  <c r="AH197" i="6"/>
  <c r="AH93" i="6"/>
  <c r="AH95" i="6"/>
  <c r="AH185" i="6"/>
  <c r="AH98" i="6"/>
  <c r="AH96" i="6"/>
  <c r="AH97" i="6"/>
  <c r="AH101" i="6"/>
  <c r="AH99" i="6"/>
  <c r="AH103" i="6"/>
  <c r="AH106" i="6"/>
  <c r="AH102" i="6"/>
  <c r="AH104" i="6"/>
  <c r="AH108" i="6"/>
  <c r="AH112" i="6"/>
  <c r="AH109" i="6"/>
  <c r="AH114" i="6"/>
  <c r="AH110" i="6"/>
  <c r="AH116" i="6"/>
  <c r="AH118" i="6"/>
  <c r="AH117" i="6"/>
  <c r="AH122" i="6"/>
  <c r="AH120" i="6"/>
  <c r="AH123" i="6"/>
  <c r="AH126" i="6"/>
  <c r="AH124" i="6"/>
  <c r="AH125" i="6"/>
  <c r="AH128" i="6"/>
  <c r="AH130" i="6"/>
  <c r="AH127" i="6"/>
  <c r="AH131" i="6"/>
  <c r="AH133" i="6"/>
  <c r="AH134" i="6"/>
  <c r="AH135" i="6"/>
  <c r="AH136" i="6"/>
  <c r="AH137" i="6"/>
  <c r="AH144" i="6"/>
  <c r="AH146" i="6"/>
  <c r="AH145" i="6"/>
  <c r="AH139" i="6"/>
  <c r="AH142" i="6"/>
  <c r="AH138" i="6"/>
  <c r="AH140" i="6"/>
  <c r="AH143" i="6"/>
  <c r="H24" i="6" l="1"/>
  <c r="B20" i="6"/>
  <c r="E21" i="6"/>
  <c r="F15" i="6"/>
  <c r="C120" i="6"/>
  <c r="G18" i="6"/>
  <c r="F25" i="6"/>
  <c r="G19" i="6"/>
  <c r="D16" i="6"/>
  <c r="F19" i="6"/>
  <c r="E24" i="6"/>
  <c r="E18" i="6"/>
  <c r="E13" i="6"/>
  <c r="F22" i="6"/>
  <c r="G48" i="6"/>
  <c r="G143" i="6"/>
  <c r="C173" i="6"/>
  <c r="E179" i="6"/>
  <c r="C36" i="6"/>
  <c r="C200" i="6"/>
  <c r="G42" i="6"/>
  <c r="H206" i="6"/>
  <c r="G202" i="6"/>
  <c r="E68" i="6"/>
  <c r="G104" i="6"/>
  <c r="F66" i="6"/>
  <c r="B28" i="6"/>
  <c r="D129" i="6"/>
  <c r="D133" i="6"/>
  <c r="B42" i="6"/>
  <c r="B118" i="6"/>
  <c r="E158" i="6"/>
  <c r="D161" i="6"/>
  <c r="H52" i="6"/>
  <c r="H189" i="6"/>
  <c r="H142" i="6"/>
  <c r="F182" i="6"/>
  <c r="C103" i="6"/>
  <c r="E106" i="6"/>
  <c r="B125" i="6"/>
  <c r="G118" i="6"/>
  <c r="E92" i="6"/>
  <c r="H70" i="6"/>
  <c r="B134" i="6"/>
  <c r="G96" i="6"/>
  <c r="G210" i="6"/>
  <c r="B121" i="6"/>
  <c r="G154" i="6"/>
  <c r="F79" i="6"/>
  <c r="H115" i="6"/>
  <c r="G162" i="6"/>
  <c r="F73" i="6"/>
  <c r="B95" i="6"/>
  <c r="C59" i="6"/>
  <c r="E144" i="6"/>
  <c r="G76" i="6"/>
  <c r="F29" i="6"/>
  <c r="E205" i="6"/>
  <c r="D148" i="6"/>
  <c r="F30" i="6"/>
  <c r="H157" i="6"/>
  <c r="E50" i="6"/>
  <c r="C130" i="6"/>
  <c r="E110" i="6"/>
  <c r="B14" i="6"/>
  <c r="D201" i="6"/>
  <c r="H19" i="6"/>
  <c r="C14" i="6"/>
  <c r="C20" i="6"/>
  <c r="C140" i="6"/>
  <c r="G15" i="6"/>
  <c r="C122" i="6"/>
  <c r="H25" i="6"/>
  <c r="C25" i="6"/>
  <c r="D20" i="6"/>
  <c r="C18" i="6"/>
  <c r="H15" i="6"/>
  <c r="B71" i="6"/>
  <c r="B145" i="6"/>
  <c r="C124" i="6"/>
  <c r="D200" i="6"/>
  <c r="G195" i="6"/>
  <c r="C175" i="6"/>
  <c r="H44" i="6"/>
  <c r="H53" i="6"/>
  <c r="E111" i="6"/>
  <c r="H201" i="6"/>
  <c r="C105" i="6"/>
  <c r="D12" i="6"/>
  <c r="D141" i="6"/>
  <c r="E41" i="6"/>
  <c r="E173" i="6"/>
  <c r="D56" i="6"/>
  <c r="H14" i="6"/>
  <c r="C19" i="6"/>
  <c r="F21" i="6"/>
  <c r="B17" i="6"/>
  <c r="B22" i="6"/>
  <c r="D105" i="6"/>
  <c r="D175" i="6"/>
  <c r="G20" i="6"/>
  <c r="B24" i="6"/>
  <c r="H193" i="6"/>
  <c r="E23" i="6"/>
  <c r="B18" i="6"/>
  <c r="G21" i="6"/>
  <c r="F16" i="6"/>
  <c r="B126" i="6"/>
  <c r="H171" i="6"/>
  <c r="C160" i="6"/>
  <c r="B59" i="6"/>
  <c r="E181" i="6"/>
  <c r="E123" i="6"/>
  <c r="G197" i="6"/>
  <c r="B107" i="6"/>
  <c r="H184" i="6"/>
  <c r="F100" i="6"/>
  <c r="F48" i="6"/>
  <c r="F112" i="6"/>
  <c r="E126" i="6"/>
  <c r="G109" i="6"/>
  <c r="F134" i="6"/>
  <c r="C60" i="6"/>
  <c r="G60" i="6"/>
  <c r="D121" i="6"/>
  <c r="C125" i="6"/>
  <c r="E38" i="6"/>
  <c r="B211" i="6"/>
  <c r="G65" i="6"/>
  <c r="B50" i="6"/>
  <c r="G73" i="6"/>
  <c r="E118" i="6"/>
  <c r="F97" i="6"/>
  <c r="E75" i="6"/>
  <c r="B141" i="6"/>
  <c r="D167" i="6"/>
  <c r="C199" i="6"/>
  <c r="E101" i="6"/>
  <c r="D67" i="6"/>
  <c r="G115" i="6"/>
  <c r="D164" i="6"/>
  <c r="B205" i="6"/>
  <c r="C62" i="6"/>
  <c r="G165" i="6"/>
  <c r="F49" i="6"/>
  <c r="C106" i="6"/>
  <c r="E80" i="6"/>
  <c r="E176" i="6"/>
  <c r="C65" i="6"/>
  <c r="H83" i="6"/>
  <c r="E183" i="6"/>
  <c r="D73" i="6"/>
  <c r="E66" i="6"/>
  <c r="D88" i="6"/>
  <c r="G108" i="6"/>
  <c r="B202" i="6"/>
  <c r="E157" i="6"/>
  <c r="H127" i="6"/>
  <c r="D101" i="6"/>
  <c r="B129" i="6"/>
  <c r="H55" i="6"/>
  <c r="E55" i="6"/>
  <c r="D144" i="6"/>
  <c r="E117" i="6"/>
  <c r="D49" i="6"/>
  <c r="G193" i="6"/>
  <c r="G149" i="6"/>
  <c r="B159" i="6"/>
  <c r="F139" i="6"/>
  <c r="D120" i="6"/>
  <c r="D86" i="6"/>
  <c r="H105" i="6"/>
  <c r="H109" i="6"/>
  <c r="B52" i="6"/>
  <c r="C26" i="6"/>
  <c r="F76" i="6"/>
  <c r="B63" i="6"/>
  <c r="F13" i="6"/>
  <c r="D24" i="6"/>
  <c r="G126" i="6"/>
  <c r="C16" i="6"/>
  <c r="D61" i="6"/>
  <c r="H18" i="6"/>
  <c r="F20" i="6"/>
  <c r="B13" i="6"/>
  <c r="H21" i="6"/>
  <c r="H89" i="6"/>
  <c r="H23" i="6"/>
  <c r="B139" i="6"/>
  <c r="E17" i="6"/>
  <c r="H48" i="6"/>
  <c r="B133" i="6"/>
  <c r="H103" i="6"/>
  <c r="H41" i="6"/>
  <c r="G163" i="6"/>
  <c r="G46" i="6"/>
  <c r="G142" i="6"/>
  <c r="F155" i="6"/>
  <c r="D155" i="6"/>
  <c r="H99" i="6"/>
  <c r="H37" i="6"/>
  <c r="C131" i="6"/>
  <c r="E197" i="6"/>
  <c r="D70" i="6"/>
  <c r="E81" i="6"/>
  <c r="E147" i="6"/>
  <c r="G35" i="6"/>
  <c r="E51" i="6"/>
  <c r="G127" i="6"/>
  <c r="G84" i="6"/>
  <c r="E78" i="6"/>
  <c r="F84" i="6"/>
  <c r="F170" i="6"/>
  <c r="H49" i="6"/>
  <c r="E172" i="6"/>
  <c r="B152" i="6"/>
  <c r="H36" i="6"/>
  <c r="E109" i="6"/>
  <c r="D104" i="6"/>
  <c r="G133" i="6"/>
  <c r="C78" i="6"/>
  <c r="F43" i="6"/>
  <c r="G190" i="6"/>
  <c r="H57" i="6"/>
  <c r="G81" i="6"/>
  <c r="D189" i="6"/>
  <c r="D150" i="6"/>
  <c r="D92" i="6"/>
  <c r="C141" i="6"/>
  <c r="B65" i="6"/>
  <c r="H131" i="6"/>
  <c r="F26" i="6"/>
  <c r="D190" i="6"/>
  <c r="H166" i="6"/>
  <c r="C40" i="6"/>
  <c r="B203" i="6"/>
  <c r="G102" i="6"/>
  <c r="G159" i="6"/>
  <c r="G58" i="6"/>
  <c r="E146" i="6"/>
  <c r="C79" i="6"/>
  <c r="F194" i="6"/>
  <c r="H104" i="6"/>
  <c r="C118" i="6"/>
  <c r="H86" i="6"/>
  <c r="H120" i="6"/>
  <c r="C138" i="6"/>
  <c r="F53" i="6"/>
  <c r="C146" i="6"/>
  <c r="D48" i="6"/>
  <c r="B21" i="6"/>
  <c r="E22" i="6"/>
  <c r="G14" i="6"/>
  <c r="C13" i="6"/>
  <c r="G16" i="6"/>
  <c r="E19" i="6"/>
  <c r="F17" i="6"/>
  <c r="F56" i="6"/>
  <c r="B15" i="6"/>
  <c r="D14" i="6"/>
  <c r="G25" i="6"/>
  <c r="F14" i="6"/>
  <c r="B23" i="6"/>
  <c r="C203" i="6"/>
  <c r="G153" i="6"/>
  <c r="F67" i="6"/>
  <c r="F70" i="6"/>
  <c r="H42" i="6"/>
  <c r="H85" i="6"/>
  <c r="D166" i="6"/>
  <c r="F125" i="6"/>
  <c r="D96" i="6"/>
  <c r="B103" i="6"/>
  <c r="C98" i="6"/>
  <c r="F105" i="6"/>
  <c r="D55" i="6"/>
  <c r="C50" i="6"/>
  <c r="H118" i="6"/>
  <c r="E48" i="6"/>
  <c r="C35" i="6"/>
  <c r="F187" i="6"/>
  <c r="B70" i="6"/>
  <c r="F148" i="6"/>
  <c r="H147" i="6"/>
  <c r="H153" i="6"/>
  <c r="B128" i="6"/>
  <c r="H65" i="6"/>
  <c r="D185" i="6"/>
  <c r="C57" i="6"/>
  <c r="B111" i="6"/>
  <c r="E84" i="6"/>
  <c r="B101" i="6"/>
  <c r="H46" i="6"/>
  <c r="F81" i="6"/>
  <c r="D46" i="6"/>
  <c r="H203" i="6"/>
  <c r="F166" i="6"/>
  <c r="E120" i="6"/>
  <c r="B32" i="6"/>
  <c r="F38" i="6"/>
  <c r="C68" i="6"/>
  <c r="E26" i="6"/>
  <c r="C64" i="6"/>
  <c r="D195" i="6"/>
  <c r="D131" i="6"/>
  <c r="E57" i="6"/>
  <c r="E133" i="6"/>
  <c r="G179" i="6"/>
  <c r="D81" i="6"/>
  <c r="B40" i="6"/>
  <c r="D143" i="6"/>
  <c r="E99" i="6"/>
  <c r="B100" i="6"/>
  <c r="F101" i="6"/>
  <c r="F136" i="6"/>
  <c r="F18" i="6"/>
  <c r="D23" i="6"/>
  <c r="H16" i="6"/>
  <c r="D21" i="6"/>
  <c r="C15" i="6"/>
  <c r="D19" i="6"/>
  <c r="H84" i="6"/>
  <c r="G120" i="6"/>
  <c r="D17" i="6"/>
  <c r="G22" i="6"/>
  <c r="H13" i="6"/>
  <c r="H22" i="6"/>
  <c r="E16" i="6"/>
  <c r="G24" i="6"/>
  <c r="D18" i="6"/>
  <c r="E114" i="6"/>
  <c r="B175" i="6"/>
  <c r="D39" i="6"/>
  <c r="G150" i="6"/>
  <c r="E100" i="6"/>
  <c r="H197" i="6"/>
  <c r="H162" i="6"/>
  <c r="E156" i="6"/>
  <c r="D186" i="6"/>
  <c r="H164" i="6"/>
  <c r="D45" i="6"/>
  <c r="G67" i="6"/>
  <c r="D183" i="6"/>
  <c r="H194" i="6"/>
  <c r="D54" i="6"/>
  <c r="D97" i="6"/>
  <c r="G151" i="6"/>
  <c r="B157" i="6"/>
  <c r="E206" i="6"/>
  <c r="B58" i="6"/>
  <c r="F181" i="6"/>
  <c r="D209" i="6"/>
  <c r="E140" i="6"/>
  <c r="G86" i="6"/>
  <c r="D66" i="6"/>
  <c r="F197" i="6"/>
  <c r="C82" i="6"/>
  <c r="F195" i="6"/>
  <c r="F74" i="6"/>
  <c r="G79" i="6"/>
  <c r="E108" i="6"/>
  <c r="B80" i="6"/>
  <c r="C31" i="6"/>
  <c r="C70" i="6"/>
  <c r="G29" i="6"/>
  <c r="D43" i="6"/>
  <c r="B164" i="6"/>
  <c r="E56" i="6"/>
  <c r="C156" i="6"/>
  <c r="G55" i="6"/>
  <c r="B115" i="6"/>
  <c r="H82" i="6"/>
  <c r="F107" i="6"/>
  <c r="G99" i="6"/>
  <c r="E104" i="6"/>
  <c r="F157" i="6"/>
  <c r="H108" i="6"/>
  <c r="B55" i="6"/>
  <c r="C108" i="6"/>
  <c r="H121" i="6"/>
  <c r="H143" i="6"/>
  <c r="D170" i="6"/>
  <c r="H96" i="6"/>
  <c r="E63" i="6"/>
  <c r="E189" i="6"/>
  <c r="G128" i="6"/>
  <c r="B116" i="6"/>
  <c r="E45" i="6"/>
  <c r="E14" i="6"/>
  <c r="D157" i="6"/>
  <c r="F24" i="6"/>
  <c r="E25" i="6"/>
  <c r="D15" i="6"/>
  <c r="C24" i="6"/>
  <c r="C23" i="6"/>
  <c r="G17" i="6"/>
  <c r="B142" i="6"/>
  <c r="C21" i="6"/>
  <c r="H80" i="6"/>
  <c r="D22" i="6"/>
  <c r="H17" i="6"/>
  <c r="B25" i="6"/>
  <c r="G204" i="6"/>
  <c r="C211" i="6"/>
  <c r="C189" i="6"/>
  <c r="E152" i="6"/>
  <c r="H81" i="6"/>
  <c r="D203" i="6"/>
  <c r="B69" i="6"/>
  <c r="F113" i="6"/>
  <c r="D124" i="6"/>
  <c r="C45" i="6"/>
  <c r="D42" i="6"/>
  <c r="C61" i="6"/>
  <c r="E69" i="6"/>
  <c r="C94" i="6"/>
  <c r="F153" i="6"/>
  <c r="G88" i="6"/>
  <c r="H128" i="6"/>
  <c r="H154" i="6"/>
  <c r="H167" i="6"/>
  <c r="D107" i="6"/>
  <c r="G136" i="6"/>
  <c r="H170" i="6"/>
  <c r="F41" i="6"/>
  <c r="B29" i="6"/>
  <c r="C158" i="6"/>
  <c r="D26" i="6"/>
  <c r="C46" i="6"/>
  <c r="F89" i="6"/>
  <c r="B88" i="6"/>
  <c r="E103" i="6"/>
  <c r="D123" i="6"/>
  <c r="D127" i="6"/>
  <c r="E145" i="6"/>
  <c r="G89" i="6"/>
  <c r="F123" i="6"/>
  <c r="F165" i="6"/>
  <c r="F168" i="6"/>
  <c r="H196" i="6"/>
  <c r="B93" i="6"/>
  <c r="D83" i="6"/>
  <c r="F210" i="6"/>
  <c r="F69" i="6"/>
  <c r="B38" i="6"/>
  <c r="G32" i="6"/>
  <c r="E42" i="6"/>
  <c r="E115" i="6"/>
  <c r="H98" i="6"/>
  <c r="H34" i="6"/>
  <c r="D153" i="6"/>
  <c r="E119" i="6"/>
  <c r="F63" i="6"/>
  <c r="D99" i="6"/>
  <c r="B143" i="6"/>
  <c r="E194" i="6"/>
  <c r="H27" i="6"/>
  <c r="B57" i="6"/>
  <c r="G26" i="6"/>
  <c r="B102" i="6"/>
  <c r="B117" i="6"/>
  <c r="H74" i="6"/>
  <c r="C164" i="6"/>
  <c r="B82" i="6"/>
  <c r="C17" i="6"/>
  <c r="G23" i="6"/>
  <c r="D25" i="6"/>
  <c r="D13" i="6"/>
  <c r="F191" i="6"/>
  <c r="C22" i="6"/>
  <c r="E127" i="6"/>
  <c r="E20" i="6"/>
  <c r="B16" i="6"/>
  <c r="H20" i="6"/>
  <c r="F23" i="6"/>
  <c r="E15" i="6"/>
  <c r="B19" i="6"/>
  <c r="G13" i="6"/>
  <c r="E138" i="6"/>
  <c r="H124" i="6"/>
  <c r="C33" i="6"/>
  <c r="F71" i="6"/>
  <c r="D188" i="6"/>
  <c r="F75" i="6"/>
  <c r="D72" i="6"/>
  <c r="D34" i="6"/>
  <c r="C188" i="6"/>
  <c r="H88" i="6"/>
  <c r="D80" i="6"/>
  <c r="D52" i="6"/>
  <c r="E154" i="6"/>
  <c r="B210" i="6"/>
  <c r="F114" i="6"/>
  <c r="C90" i="6"/>
  <c r="G37" i="6"/>
  <c r="B106" i="6"/>
  <c r="C153" i="6"/>
  <c r="E47" i="6"/>
  <c r="B72" i="6"/>
  <c r="H195" i="6"/>
  <c r="H90" i="6"/>
  <c r="D152" i="6"/>
  <c r="B77" i="6"/>
  <c r="G34" i="6"/>
  <c r="H145" i="6"/>
  <c r="E46" i="6"/>
  <c r="B96" i="6"/>
  <c r="G106" i="6"/>
  <c r="D35" i="6"/>
  <c r="G196" i="6"/>
  <c r="H182" i="6"/>
  <c r="E62" i="6"/>
  <c r="C155" i="6"/>
  <c r="B178" i="6"/>
  <c r="G178" i="6"/>
  <c r="C198" i="6"/>
  <c r="B184" i="6"/>
  <c r="D211" i="6"/>
  <c r="G87" i="6"/>
  <c r="G69" i="6"/>
  <c r="G43" i="6"/>
  <c r="F204" i="6"/>
  <c r="C96" i="6"/>
  <c r="F44" i="6"/>
  <c r="G135" i="6"/>
  <c r="E139" i="6"/>
  <c r="G112" i="6"/>
  <c r="G85" i="6"/>
  <c r="G64" i="6"/>
  <c r="B165" i="6"/>
  <c r="C92" i="6"/>
  <c r="D180" i="6"/>
  <c r="E54" i="6"/>
  <c r="F85" i="6"/>
  <c r="C113" i="6"/>
  <c r="E52" i="6"/>
  <c r="H211" i="6"/>
  <c r="G167" i="6"/>
  <c r="B144" i="6"/>
  <c r="C112" i="6"/>
  <c r="C102" i="6"/>
  <c r="D31" i="6"/>
  <c r="F200" i="6"/>
  <c r="H185" i="6"/>
  <c r="E195" i="6"/>
  <c r="E130" i="6"/>
  <c r="H117" i="6"/>
  <c r="B78" i="6"/>
  <c r="B120" i="6"/>
  <c r="H106" i="6"/>
  <c r="E96" i="6"/>
  <c r="E98" i="6"/>
  <c r="B114" i="6"/>
  <c r="D191" i="6"/>
  <c r="D165" i="6"/>
  <c r="G206" i="6"/>
  <c r="D192" i="6"/>
  <c r="D122" i="6"/>
  <c r="E29" i="6"/>
  <c r="C137" i="6"/>
  <c r="B181" i="6"/>
  <c r="E142" i="6"/>
  <c r="C145" i="6"/>
  <c r="D181" i="6"/>
  <c r="B158" i="6"/>
  <c r="H78" i="6"/>
  <c r="G61" i="6"/>
  <c r="C74" i="6"/>
  <c r="B56" i="6"/>
  <c r="D27" i="6"/>
  <c r="B64" i="6"/>
  <c r="F54" i="6"/>
  <c r="E182" i="6"/>
  <c r="H181" i="6"/>
  <c r="H177" i="6"/>
  <c r="E116" i="6"/>
  <c r="H107" i="6"/>
  <c r="G205" i="6"/>
  <c r="E209" i="6"/>
  <c r="H56" i="6"/>
  <c r="B119" i="6"/>
  <c r="C12" i="6"/>
  <c r="G44" i="6"/>
  <c r="G111" i="6"/>
  <c r="E89" i="6"/>
  <c r="C119" i="6"/>
  <c r="C196" i="6"/>
  <c r="E180" i="6"/>
  <c r="G140" i="6"/>
  <c r="D207" i="6"/>
  <c r="E125" i="6"/>
  <c r="F152" i="6"/>
  <c r="C55" i="6"/>
  <c r="C69" i="6"/>
  <c r="C48" i="6"/>
  <c r="H173" i="6"/>
  <c r="H93" i="6"/>
  <c r="F130" i="6"/>
  <c r="B192" i="6"/>
  <c r="F185" i="6"/>
  <c r="B127" i="6"/>
  <c r="C29" i="6"/>
  <c r="H187" i="6"/>
  <c r="C204" i="6"/>
  <c r="B124" i="6"/>
  <c r="D33" i="6"/>
  <c r="F27" i="6"/>
  <c r="G30" i="6"/>
  <c r="B138" i="6"/>
  <c r="E58" i="6"/>
  <c r="H135" i="6"/>
  <c r="G164" i="6"/>
  <c r="E184" i="6"/>
  <c r="E169" i="6"/>
  <c r="E82" i="6"/>
  <c r="C77" i="6"/>
  <c r="G91" i="6"/>
  <c r="E199" i="6"/>
  <c r="G194" i="6"/>
  <c r="H205" i="6"/>
  <c r="F169" i="6"/>
  <c r="D38" i="6"/>
  <c r="B41" i="6"/>
  <c r="F145" i="6"/>
  <c r="G53" i="6"/>
  <c r="D103" i="6"/>
  <c r="D110" i="6"/>
  <c r="B131" i="6"/>
  <c r="B73" i="6"/>
  <c r="H183" i="6"/>
  <c r="B81" i="6"/>
  <c r="H178" i="6"/>
  <c r="F142" i="6"/>
  <c r="C185" i="6"/>
  <c r="C178" i="6"/>
  <c r="H133" i="6"/>
  <c r="B43" i="6"/>
  <c r="D146" i="6"/>
  <c r="G137" i="6"/>
  <c r="G45" i="6"/>
  <c r="B168" i="6"/>
  <c r="B54" i="6"/>
  <c r="G124" i="6"/>
  <c r="B207" i="6"/>
  <c r="G74" i="6"/>
  <c r="E88" i="6"/>
  <c r="C101" i="6"/>
  <c r="E31" i="6"/>
  <c r="G36" i="6"/>
  <c r="G152" i="6"/>
  <c r="E160" i="6"/>
  <c r="F106" i="6"/>
  <c r="E34" i="6"/>
  <c r="D160" i="6"/>
  <c r="D57" i="6"/>
  <c r="C161" i="6"/>
  <c r="F175" i="6"/>
  <c r="B89" i="6"/>
  <c r="F156" i="6"/>
  <c r="E61" i="6"/>
  <c r="H156" i="6"/>
  <c r="C144" i="6"/>
  <c r="F42" i="6"/>
  <c r="E67" i="6"/>
  <c r="E204" i="6"/>
  <c r="E44" i="6"/>
  <c r="F147" i="6"/>
  <c r="H134" i="6"/>
  <c r="B201" i="6"/>
  <c r="D78" i="6"/>
  <c r="E40" i="6"/>
  <c r="G97" i="6"/>
  <c r="D102" i="6"/>
  <c r="F122" i="6"/>
  <c r="B199" i="6"/>
  <c r="G101" i="6"/>
  <c r="F64" i="6"/>
  <c r="B53" i="6"/>
  <c r="F150" i="6"/>
  <c r="B136" i="6"/>
  <c r="H209" i="6"/>
  <c r="E207" i="6"/>
  <c r="D202" i="6"/>
  <c r="C80" i="6"/>
  <c r="B167" i="6"/>
  <c r="C123" i="6"/>
  <c r="E174" i="6"/>
  <c r="G119" i="6"/>
  <c r="G80" i="6"/>
  <c r="D116" i="6"/>
  <c r="D126" i="6"/>
  <c r="B99" i="6"/>
  <c r="F189" i="6"/>
  <c r="F135" i="6"/>
  <c r="C63" i="6"/>
  <c r="C54" i="6"/>
  <c r="F36" i="6"/>
  <c r="H61" i="6"/>
  <c r="C52" i="6"/>
  <c r="C184" i="6"/>
  <c r="C95" i="6"/>
  <c r="H79" i="6"/>
  <c r="F98" i="6"/>
  <c r="B191" i="6"/>
  <c r="F88" i="6"/>
  <c r="H122" i="6"/>
  <c r="B156" i="6"/>
  <c r="E168" i="6"/>
  <c r="C205" i="6"/>
  <c r="G130" i="6"/>
  <c r="B122" i="6"/>
  <c r="H132" i="6"/>
  <c r="H126" i="6"/>
  <c r="C66" i="6"/>
  <c r="G27" i="6"/>
  <c r="F111" i="6"/>
  <c r="B30" i="6"/>
  <c r="G138" i="6"/>
  <c r="F116" i="6"/>
  <c r="F96" i="6"/>
  <c r="B44" i="6"/>
  <c r="G107" i="6"/>
  <c r="D119" i="6"/>
  <c r="H174" i="6"/>
  <c r="D187" i="6"/>
  <c r="E85" i="6"/>
  <c r="H58" i="6"/>
  <c r="C86" i="6"/>
  <c r="C72" i="6"/>
  <c r="G51" i="6"/>
  <c r="F33" i="6"/>
  <c r="B47" i="6"/>
  <c r="C194" i="6"/>
  <c r="F92" i="6"/>
  <c r="B183" i="6"/>
  <c r="D60" i="6"/>
  <c r="D68" i="6"/>
  <c r="B182" i="6"/>
  <c r="C197" i="6"/>
  <c r="F83" i="6"/>
  <c r="H149" i="6"/>
  <c r="D106" i="6"/>
  <c r="E178" i="6"/>
  <c r="D159" i="6"/>
  <c r="D172" i="6"/>
  <c r="C117" i="6"/>
  <c r="H111" i="6"/>
  <c r="C139" i="6"/>
  <c r="B85" i="6"/>
  <c r="B67" i="6"/>
  <c r="G68" i="6"/>
  <c r="G71" i="6"/>
  <c r="G38" i="6"/>
  <c r="E107" i="6"/>
  <c r="C111" i="6"/>
  <c r="F86" i="6"/>
  <c r="D98" i="6"/>
  <c r="D134" i="6"/>
  <c r="H38" i="6"/>
  <c r="B112" i="6"/>
  <c r="D30" i="6"/>
  <c r="C109" i="6"/>
  <c r="D156" i="6"/>
  <c r="C133" i="6"/>
  <c r="B197" i="6"/>
  <c r="B148" i="6"/>
  <c r="D74" i="6"/>
  <c r="F203" i="6"/>
  <c r="C128" i="6"/>
  <c r="F164" i="6"/>
  <c r="H63" i="6"/>
  <c r="F205" i="6"/>
  <c r="C115" i="6"/>
  <c r="G148" i="6"/>
  <c r="B91" i="6"/>
  <c r="D128" i="6"/>
  <c r="C110" i="6"/>
  <c r="D53" i="6"/>
  <c r="D79" i="6"/>
  <c r="F193" i="6"/>
  <c r="B154" i="6"/>
  <c r="B155" i="6"/>
  <c r="D76" i="6"/>
  <c r="C157" i="6"/>
  <c r="D145" i="6"/>
  <c r="B33" i="6"/>
  <c r="D114" i="6"/>
  <c r="D41" i="6"/>
  <c r="H113" i="6"/>
  <c r="G147" i="6"/>
  <c r="B162" i="6"/>
  <c r="C171" i="6"/>
  <c r="H179" i="6"/>
  <c r="H160" i="6"/>
  <c r="E93" i="6"/>
  <c r="F137" i="6"/>
  <c r="G33" i="6"/>
  <c r="C134" i="6"/>
  <c r="D40" i="6"/>
  <c r="G186" i="6"/>
  <c r="C135" i="6"/>
  <c r="F178" i="6"/>
  <c r="G105" i="6"/>
  <c r="H165" i="6"/>
  <c r="C195" i="6"/>
  <c r="E43" i="6"/>
  <c r="C186" i="6"/>
  <c r="D84" i="6"/>
  <c r="H39" i="6"/>
  <c r="G168" i="6"/>
  <c r="E112" i="6"/>
  <c r="C47" i="6"/>
  <c r="D29" i="6"/>
  <c r="D196" i="6"/>
  <c r="F144" i="6"/>
  <c r="E91" i="6"/>
  <c r="B123" i="6"/>
  <c r="C126" i="6"/>
  <c r="G77" i="6"/>
  <c r="C165" i="6"/>
  <c r="D62" i="6"/>
  <c r="H71" i="6"/>
  <c r="F60" i="6"/>
  <c r="E135" i="6"/>
  <c r="B166" i="6"/>
  <c r="H151" i="6"/>
  <c r="E70" i="6"/>
  <c r="E193" i="6"/>
  <c r="C49" i="6"/>
  <c r="F140" i="6"/>
  <c r="B76" i="6"/>
  <c r="D65" i="6"/>
  <c r="G208" i="6"/>
  <c r="H28" i="6"/>
  <c r="B185" i="6"/>
  <c r="B195" i="6"/>
  <c r="B51" i="6"/>
  <c r="G192" i="6"/>
  <c r="C148" i="6"/>
  <c r="F65" i="6"/>
  <c r="C116" i="6"/>
  <c r="C159" i="6"/>
  <c r="B60" i="6"/>
  <c r="F78" i="6"/>
  <c r="D37" i="6"/>
  <c r="H68" i="6"/>
  <c r="F126" i="6"/>
  <c r="D69" i="6"/>
  <c r="B149" i="6"/>
  <c r="H114" i="6"/>
  <c r="G180" i="6"/>
  <c r="F57" i="6"/>
  <c r="B147" i="6"/>
  <c r="B172" i="6"/>
  <c r="H159" i="6"/>
  <c r="G40" i="6"/>
  <c r="D91" i="6"/>
  <c r="D169" i="6"/>
  <c r="F28" i="6"/>
  <c r="C38" i="6"/>
  <c r="C41" i="6"/>
  <c r="C100" i="6"/>
  <c r="B190" i="6"/>
  <c r="D147" i="6"/>
  <c r="H119" i="6"/>
  <c r="D168" i="6"/>
  <c r="C88" i="6"/>
  <c r="D184" i="6"/>
  <c r="E64" i="6"/>
  <c r="D111" i="6"/>
  <c r="D140" i="6"/>
  <c r="F121" i="6"/>
  <c r="F103" i="6"/>
  <c r="D204" i="6"/>
  <c r="F186" i="6"/>
  <c r="B68" i="6"/>
  <c r="E59" i="6"/>
  <c r="C114" i="6"/>
  <c r="F138" i="6"/>
  <c r="G31" i="6"/>
  <c r="D28" i="6"/>
  <c r="C83" i="6"/>
  <c r="F174" i="6"/>
  <c r="D82" i="6"/>
  <c r="H29" i="6"/>
  <c r="G188" i="6"/>
  <c r="E124" i="6"/>
  <c r="H136" i="6"/>
  <c r="B163" i="6"/>
  <c r="F59" i="6"/>
  <c r="B135" i="6"/>
  <c r="E191" i="6"/>
  <c r="D179" i="6"/>
  <c r="C191" i="6"/>
  <c r="H198" i="6"/>
  <c r="G93" i="6"/>
  <c r="D132" i="6"/>
  <c r="H76" i="6"/>
  <c r="C53" i="6"/>
  <c r="H43" i="6"/>
  <c r="B196" i="6"/>
  <c r="D199" i="6"/>
  <c r="D142" i="6"/>
  <c r="B150" i="6"/>
  <c r="E188" i="6"/>
  <c r="G187" i="6"/>
  <c r="H92" i="6"/>
  <c r="F163" i="6"/>
  <c r="E49" i="6"/>
  <c r="B45" i="6"/>
  <c r="E121" i="6"/>
  <c r="B176" i="6"/>
  <c r="F12" i="6"/>
  <c r="H110" i="6"/>
  <c r="H192" i="6"/>
  <c r="B75" i="6"/>
  <c r="G170" i="6"/>
  <c r="C28" i="6"/>
  <c r="D136" i="6"/>
  <c r="G72" i="6"/>
  <c r="F37" i="6"/>
  <c r="G125" i="6"/>
  <c r="E77" i="6"/>
  <c r="C93" i="6"/>
  <c r="E83" i="6"/>
  <c r="C56" i="6"/>
  <c r="E170" i="6"/>
  <c r="B104" i="6"/>
  <c r="F146" i="6"/>
  <c r="D90" i="6"/>
  <c r="E164" i="6"/>
  <c r="C85" i="6"/>
  <c r="B113" i="6"/>
  <c r="E153" i="6"/>
  <c r="G174" i="6"/>
  <c r="H137" i="6"/>
  <c r="C84" i="6"/>
  <c r="H60" i="6"/>
  <c r="D63" i="6"/>
  <c r="F77" i="6"/>
  <c r="D109" i="6"/>
  <c r="G132" i="6"/>
  <c r="B61" i="6"/>
  <c r="F211" i="6"/>
  <c r="C149" i="6"/>
  <c r="G201" i="6"/>
  <c r="C162" i="6"/>
  <c r="F34" i="6"/>
  <c r="F39" i="6"/>
  <c r="E185" i="6"/>
  <c r="B173" i="6"/>
  <c r="H199" i="6"/>
  <c r="H129" i="6"/>
  <c r="E165" i="6"/>
  <c r="E141" i="6"/>
  <c r="C147" i="6"/>
  <c r="F132" i="6"/>
  <c r="C210" i="6"/>
  <c r="D138" i="6"/>
  <c r="E30" i="6"/>
  <c r="G131" i="6"/>
  <c r="E36" i="6"/>
  <c r="B26" i="6"/>
  <c r="F62" i="6"/>
  <c r="H66" i="6"/>
  <c r="H144" i="6"/>
  <c r="D137" i="6"/>
  <c r="C44" i="6"/>
  <c r="F118" i="6"/>
  <c r="F151" i="6"/>
  <c r="E159" i="6"/>
  <c r="E196" i="6"/>
  <c r="F93" i="6"/>
  <c r="G175" i="6"/>
  <c r="B180" i="6"/>
  <c r="H94" i="6"/>
  <c r="D95" i="6"/>
  <c r="G209" i="6"/>
  <c r="G103" i="6"/>
  <c r="H112" i="6"/>
  <c r="F110" i="6"/>
  <c r="E190" i="6"/>
  <c r="E37" i="6"/>
  <c r="B179" i="6"/>
  <c r="D50" i="6"/>
  <c r="B46" i="6"/>
  <c r="B84" i="6"/>
  <c r="C206" i="6"/>
  <c r="B108" i="6"/>
  <c r="C177" i="6"/>
  <c r="F117" i="6"/>
  <c r="H73" i="6"/>
  <c r="B170" i="6"/>
  <c r="E27" i="6"/>
  <c r="F47" i="6"/>
  <c r="E162" i="6"/>
  <c r="B169" i="6"/>
  <c r="F207" i="6"/>
  <c r="C121" i="6"/>
  <c r="B198" i="6"/>
  <c r="D198" i="6"/>
  <c r="E72" i="6"/>
  <c r="B187" i="6"/>
  <c r="F141" i="6"/>
  <c r="C150" i="6"/>
  <c r="H146" i="6"/>
  <c r="E148" i="6"/>
  <c r="B49" i="6"/>
  <c r="G41" i="6"/>
  <c r="C142" i="6"/>
  <c r="B177" i="6"/>
  <c r="D174" i="6"/>
  <c r="G177" i="6"/>
  <c r="G200" i="6"/>
  <c r="E79" i="6"/>
  <c r="E201" i="6"/>
  <c r="F192" i="6"/>
  <c r="G166" i="6"/>
  <c r="H168" i="6"/>
  <c r="G50" i="6"/>
  <c r="C75" i="6"/>
  <c r="E32" i="6"/>
  <c r="F184" i="6"/>
  <c r="G54" i="6"/>
  <c r="C67" i="6"/>
  <c r="D177" i="6"/>
  <c r="D208" i="6"/>
  <c r="G146" i="6"/>
  <c r="C71" i="6"/>
  <c r="G199" i="6"/>
  <c r="B140" i="6"/>
  <c r="H69" i="6"/>
  <c r="H169" i="6"/>
  <c r="D130" i="6"/>
  <c r="E95" i="6"/>
  <c r="D51" i="6"/>
  <c r="F179" i="6"/>
  <c r="B92" i="6"/>
  <c r="C87" i="6"/>
  <c r="E202" i="6"/>
  <c r="C166" i="6"/>
  <c r="H176" i="6"/>
  <c r="C99" i="6"/>
  <c r="G191" i="6"/>
  <c r="C104" i="6"/>
  <c r="E149" i="6"/>
  <c r="F177" i="6"/>
  <c r="F160" i="6"/>
  <c r="B27" i="6"/>
  <c r="D182" i="6"/>
  <c r="D139" i="6"/>
  <c r="F180" i="6"/>
  <c r="E131" i="6"/>
  <c r="B66" i="6"/>
  <c r="B193" i="6"/>
  <c r="D118" i="6"/>
  <c r="E76" i="6"/>
  <c r="G63" i="6"/>
  <c r="F190" i="6"/>
  <c r="D162" i="6"/>
  <c r="E187" i="6"/>
  <c r="E90" i="6"/>
  <c r="G82" i="6"/>
  <c r="H150" i="6"/>
  <c r="D205" i="6"/>
  <c r="F173" i="6"/>
  <c r="B151" i="6"/>
  <c r="G100" i="6"/>
  <c r="G134" i="6"/>
  <c r="F176" i="6"/>
  <c r="H67" i="6"/>
  <c r="B12" i="6"/>
  <c r="B98" i="6"/>
  <c r="G75" i="6"/>
  <c r="C168" i="6"/>
  <c r="G122" i="6"/>
  <c r="B137" i="6"/>
  <c r="H139" i="6"/>
  <c r="C187" i="6"/>
  <c r="G141" i="6"/>
  <c r="D77" i="6"/>
  <c r="G110" i="6"/>
  <c r="E53" i="6"/>
  <c r="C163" i="6"/>
  <c r="D197" i="6"/>
  <c r="B39" i="6"/>
  <c r="B204" i="6"/>
  <c r="F102" i="6"/>
  <c r="E167" i="6"/>
  <c r="B86" i="6"/>
  <c r="G94" i="6"/>
  <c r="H97" i="6"/>
  <c r="E74" i="6"/>
  <c r="F40" i="6"/>
  <c r="H163" i="6"/>
  <c r="H50" i="6"/>
  <c r="C170" i="6"/>
  <c r="E102" i="6"/>
  <c r="E35" i="6"/>
  <c r="C207" i="6"/>
  <c r="G114" i="6"/>
  <c r="C174" i="6"/>
  <c r="F172" i="6"/>
  <c r="D193" i="6"/>
  <c r="D171" i="6"/>
  <c r="B206" i="6"/>
  <c r="B87" i="6"/>
  <c r="H180" i="6"/>
  <c r="C30" i="6"/>
  <c r="C37" i="6"/>
  <c r="C97" i="6"/>
  <c r="G173" i="6"/>
  <c r="F115" i="6"/>
  <c r="G66" i="6"/>
  <c r="B35" i="6"/>
  <c r="B37" i="6"/>
  <c r="C73" i="6"/>
  <c r="H148" i="6"/>
  <c r="C182" i="6"/>
  <c r="H12" i="6"/>
  <c r="H186" i="6"/>
  <c r="H116" i="6"/>
  <c r="E198" i="6"/>
  <c r="F119" i="6"/>
  <c r="F198" i="6"/>
  <c r="D47" i="6"/>
  <c r="E137" i="6"/>
  <c r="F52" i="6"/>
  <c r="E203" i="6"/>
  <c r="B94" i="6"/>
  <c r="E192" i="6"/>
  <c r="G211" i="6"/>
  <c r="D178" i="6"/>
  <c r="F206" i="6"/>
  <c r="D44" i="6"/>
  <c r="F188" i="6"/>
  <c r="C181" i="6"/>
  <c r="B132" i="6"/>
  <c r="F131" i="6"/>
  <c r="C167" i="6"/>
  <c r="D108" i="6"/>
  <c r="H35" i="6"/>
  <c r="C27" i="6"/>
  <c r="H102" i="6"/>
  <c r="F124" i="6"/>
  <c r="F31" i="6"/>
  <c r="D71" i="6"/>
  <c r="C127" i="6"/>
  <c r="E151" i="6"/>
  <c r="E33" i="6"/>
  <c r="F171" i="6"/>
  <c r="D75" i="6"/>
  <c r="H45" i="6"/>
  <c r="G158" i="6"/>
  <c r="F129" i="6"/>
  <c r="E150" i="6"/>
  <c r="C58" i="6"/>
  <c r="D115" i="6"/>
  <c r="H51" i="6"/>
  <c r="E128" i="6"/>
  <c r="G70" i="6"/>
  <c r="B146" i="6"/>
  <c r="E163" i="6"/>
  <c r="F72" i="6"/>
  <c r="H47" i="6"/>
  <c r="G98" i="6"/>
  <c r="G172" i="6"/>
  <c r="F109" i="6"/>
  <c r="H59" i="6"/>
  <c r="F202" i="6"/>
  <c r="F94" i="6"/>
  <c r="H200" i="6"/>
  <c r="H40" i="6"/>
  <c r="C192" i="6"/>
  <c r="C179" i="6"/>
  <c r="H75" i="6"/>
  <c r="F61" i="6"/>
  <c r="E155" i="6"/>
  <c r="E186" i="6"/>
  <c r="C169" i="6"/>
  <c r="G47" i="6"/>
  <c r="B48" i="6"/>
  <c r="B194" i="6"/>
  <c r="E71" i="6"/>
  <c r="F80" i="6"/>
  <c r="F108" i="6"/>
  <c r="G59" i="6"/>
  <c r="D36" i="6"/>
  <c r="B161" i="6"/>
  <c r="H210" i="6"/>
  <c r="H138" i="6"/>
  <c r="B153" i="6"/>
  <c r="H125" i="6"/>
  <c r="D210" i="6"/>
  <c r="G157" i="6"/>
  <c r="C81" i="6"/>
  <c r="F209" i="6"/>
  <c r="F201" i="6"/>
  <c r="C43" i="6"/>
  <c r="C201" i="6"/>
  <c r="F91" i="6"/>
  <c r="C208" i="6"/>
  <c r="D85" i="6"/>
  <c r="B62" i="6"/>
  <c r="F82" i="6"/>
  <c r="B200" i="6"/>
  <c r="E136" i="6"/>
  <c r="B34" i="6"/>
  <c r="H204" i="6"/>
  <c r="H31" i="6"/>
  <c r="H30" i="6"/>
  <c r="C151" i="6"/>
  <c r="D154" i="6"/>
  <c r="C91" i="6"/>
  <c r="D89" i="6"/>
  <c r="E73" i="6"/>
  <c r="B209" i="6"/>
  <c r="G207" i="6"/>
  <c r="E65" i="6"/>
  <c r="E28" i="6"/>
  <c r="B174" i="6"/>
  <c r="D173" i="6"/>
  <c r="E132" i="6"/>
  <c r="E60" i="6"/>
  <c r="H207" i="6"/>
  <c r="F154" i="6"/>
  <c r="F87" i="6"/>
  <c r="D158" i="6"/>
  <c r="H32" i="6"/>
  <c r="G39" i="6"/>
  <c r="G144" i="6"/>
  <c r="C32" i="6"/>
  <c r="H87" i="6"/>
  <c r="G49" i="6"/>
  <c r="F55" i="6"/>
  <c r="G182" i="6"/>
  <c r="C190" i="6"/>
  <c r="E87" i="6"/>
  <c r="G185" i="6"/>
  <c r="G171" i="6"/>
  <c r="D113" i="6"/>
  <c r="D206" i="6"/>
  <c r="B110" i="6"/>
  <c r="G198" i="6"/>
  <c r="G56" i="6"/>
  <c r="B105" i="6"/>
  <c r="H62" i="6"/>
  <c r="H91" i="6"/>
  <c r="G155" i="6"/>
  <c r="H64" i="6"/>
  <c r="C172" i="6"/>
  <c r="G176" i="6"/>
  <c r="C136" i="6"/>
  <c r="G203" i="6"/>
  <c r="E122" i="6"/>
  <c r="H33" i="6"/>
  <c r="B74" i="6"/>
  <c r="B109" i="6"/>
  <c r="E94" i="6"/>
  <c r="C51" i="6"/>
  <c r="C183" i="6"/>
  <c r="D149" i="6"/>
  <c r="C180" i="6"/>
  <c r="C129" i="6"/>
  <c r="D100" i="6"/>
  <c r="G83" i="6"/>
  <c r="G169" i="6"/>
  <c r="B208" i="6"/>
  <c r="D125" i="6"/>
  <c r="H141" i="6"/>
  <c r="G12" i="6"/>
  <c r="B189" i="6"/>
  <c r="F161" i="6"/>
  <c r="F51" i="6"/>
  <c r="D117" i="6"/>
  <c r="H100" i="6"/>
  <c r="C107" i="6"/>
  <c r="C132" i="6"/>
  <c r="E113" i="6"/>
  <c r="G92" i="6"/>
  <c r="E166" i="6"/>
  <c r="F149" i="6"/>
  <c r="C154" i="6"/>
  <c r="G90" i="6"/>
  <c r="F183" i="6"/>
  <c r="H123" i="6"/>
  <c r="C42" i="6"/>
  <c r="G57" i="6"/>
  <c r="G116" i="6"/>
  <c r="G28" i="6"/>
  <c r="C76" i="6"/>
  <c r="E171" i="6"/>
  <c r="H72" i="6"/>
  <c r="H140" i="6"/>
  <c r="H155" i="6"/>
  <c r="G183" i="6"/>
  <c r="H130" i="6"/>
  <c r="E143" i="6"/>
  <c r="B83" i="6"/>
  <c r="D163" i="6"/>
  <c r="F196" i="6"/>
  <c r="G145" i="6"/>
  <c r="H54" i="6"/>
  <c r="G95" i="6"/>
  <c r="D32" i="6"/>
  <c r="E208" i="6"/>
  <c r="E161" i="6"/>
  <c r="D64" i="6"/>
  <c r="E200" i="6"/>
  <c r="F162" i="6"/>
  <c r="F95" i="6"/>
  <c r="G160" i="6"/>
  <c r="F143" i="6"/>
  <c r="B130" i="6"/>
  <c r="H202" i="6"/>
  <c r="F128" i="6"/>
  <c r="F68" i="6"/>
  <c r="D112" i="6"/>
  <c r="G139" i="6"/>
  <c r="C209" i="6"/>
  <c r="G62" i="6"/>
  <c r="D176" i="6"/>
  <c r="G129" i="6"/>
  <c r="F208" i="6"/>
  <c r="B186" i="6"/>
  <c r="F133" i="6"/>
  <c r="G181" i="6"/>
  <c r="D58" i="6"/>
  <c r="F50" i="6"/>
  <c r="B31" i="6"/>
  <c r="F45" i="6"/>
  <c r="H208" i="6"/>
  <c r="G184" i="6"/>
  <c r="G123" i="6"/>
  <c r="E210" i="6"/>
  <c r="D59" i="6"/>
  <c r="H172" i="6"/>
  <c r="E97" i="6"/>
  <c r="F104" i="6"/>
  <c r="E129" i="6"/>
  <c r="E177" i="6"/>
  <c r="F32" i="6"/>
  <c r="B171" i="6"/>
  <c r="E86" i="6"/>
  <c r="D194" i="6"/>
  <c r="B36" i="6"/>
  <c r="F120" i="6"/>
  <c r="D94" i="6"/>
  <c r="G117" i="6"/>
  <c r="F58" i="6"/>
  <c r="F35" i="6"/>
  <c r="B79" i="6"/>
  <c r="F167" i="6"/>
  <c r="E134" i="6"/>
  <c r="D87" i="6"/>
  <c r="E175" i="6"/>
  <c r="F199" i="6"/>
  <c r="D135" i="6"/>
  <c r="E39" i="6"/>
  <c r="D151" i="6"/>
  <c r="H95" i="6"/>
  <c r="E211" i="6"/>
  <c r="H152" i="6"/>
  <c r="C39" i="6"/>
  <c r="C193" i="6"/>
  <c r="B97" i="6"/>
  <c r="D93" i="6"/>
  <c r="F99" i="6"/>
  <c r="H158" i="6"/>
  <c r="H77" i="6"/>
  <c r="B90" i="6"/>
  <c r="H191" i="6"/>
  <c r="C152" i="6"/>
  <c r="F127" i="6"/>
  <c r="F159" i="6"/>
  <c r="F90" i="6"/>
  <c r="C143" i="6"/>
  <c r="H188" i="6"/>
  <c r="G121" i="6"/>
  <c r="H101" i="6"/>
  <c r="G156" i="6"/>
  <c r="C176" i="6"/>
  <c r="H175" i="6"/>
  <c r="H26" i="6"/>
  <c r="C202" i="6"/>
  <c r="E12" i="6"/>
  <c r="G161" i="6"/>
  <c r="F158" i="6"/>
  <c r="G189" i="6"/>
  <c r="F46" i="6"/>
  <c r="B188" i="6"/>
  <c r="G113" i="6"/>
  <c r="H190" i="6"/>
  <c r="E105" i="6"/>
  <c r="G78" i="6"/>
  <c r="H161" i="6"/>
  <c r="C89" i="6"/>
  <c r="C34" i="6"/>
  <c r="G52" i="6"/>
  <c r="B160" i="6"/>
  <c r="I3" i="6" l="1"/>
  <c r="G3" i="6"/>
  <c r="H3" i="6"/>
  <c r="J3" i="6"/>
  <c r="AL17" i="2" l="1"/>
  <c r="AK16" i="2" s="1"/>
  <c r="AM16" i="2" s="1"/>
  <c r="AL16" i="2"/>
  <c r="AL15" i="2"/>
  <c r="AK15" i="2" l="1"/>
  <c r="AM15" i="2" s="1"/>
  <c r="AK14" i="2" l="1"/>
  <c r="AK13" i="2" s="1"/>
  <c r="AM14" i="2" l="1"/>
  <c r="AM13" i="2"/>
  <c r="AK12" i="2"/>
  <c r="AM12" i="2" l="1"/>
  <c r="AK11" i="2"/>
  <c r="AK10" i="2" l="1"/>
  <c r="AM11" i="2"/>
  <c r="AM10" i="2" l="1"/>
  <c r="AK9" i="2"/>
  <c r="AM9" i="2" l="1"/>
  <c r="AK8" i="2"/>
  <c r="AM8" i="2" l="1"/>
  <c r="AK7" i="2"/>
  <c r="AM7" i="2" l="1"/>
  <c r="AK6" i="2"/>
  <c r="AM6" i="2" l="1"/>
  <c r="AK5" i="2"/>
  <c r="AM5" i="2" l="1"/>
  <c r="AK4" i="2"/>
  <c r="AM4" i="2" l="1"/>
  <c r="AK3" i="2"/>
  <c r="AK2" i="2" l="1"/>
  <c r="AM2" i="2" s="1"/>
  <c r="AM3" i="2"/>
</calcChain>
</file>

<file path=xl/metadata.xml><?xml version="1.0" encoding="utf-8"?>
<metadata xmlns="http://schemas.openxmlformats.org/spreadsheetml/2006/main" xmlns:xda="http://schemas.microsoft.com/office/spreadsheetml/2017/dynamicarray">
  <metadataTypes count="1">
    <metadataType name="XLDAPR" minSupportedVersion="120000" copy="1" pasteAll="1" pasteValues="1" merge="1" splitFirst="1" rowColShift="1" clearFormats="1" clearComments="1" assign="1" coerce="1" cellMeta="1"/>
  </metadataTypes>
  <futureMetadata name="XLDAPR" count="1">
    <bk>
      <extLst>
        <ext uri="{bdbb8cdc-fa1e-496e-a857-3c3f30c029c3}">
          <xda:dynamicArrayProperties fDynamic="1" fCollapsed="0"/>
        </ext>
      </extLst>
    </bk>
  </futureMetadata>
  <cellMetadata count="1">
    <bk>
      <rc t="1" v="0"/>
    </bk>
  </cellMetadata>
</metadata>
</file>

<file path=xl/sharedStrings.xml><?xml version="1.0" encoding="utf-8"?>
<sst xmlns="http://schemas.openxmlformats.org/spreadsheetml/2006/main" count="2976" uniqueCount="1020">
  <si>
    <t>Order</t>
  </si>
  <si>
    <t>x1</t>
  </si>
  <si>
    <t>Available</t>
  </si>
  <si>
    <t>Stocking</t>
  </si>
  <si>
    <t>Current</t>
  </si>
  <si>
    <t>Zone</t>
  </si>
  <si>
    <t>Native</t>
  </si>
  <si>
    <t>Y/N</t>
  </si>
  <si>
    <t>Priority</t>
  </si>
  <si>
    <t>Quality</t>
  </si>
  <si>
    <t>x6</t>
  </si>
  <si>
    <t>Our Selection- Mixed</t>
  </si>
  <si>
    <t>Our selection from all available</t>
  </si>
  <si>
    <t>1,2,3</t>
  </si>
  <si>
    <t>Our Selection- Zone 1 - Pondside</t>
  </si>
  <si>
    <t>Our selection of pondside plants</t>
  </si>
  <si>
    <t>Our Selection- Zone 2 &amp; 3 - Aquatic</t>
  </si>
  <si>
    <t>Our selection of Zone 2 &amp; 3 pond plants- no pondside</t>
  </si>
  <si>
    <t>2,3</t>
  </si>
  <si>
    <t>Y</t>
  </si>
  <si>
    <t>Acorus Calamus</t>
  </si>
  <si>
    <t>sweet scented rush</t>
  </si>
  <si>
    <t>fragrant, green iris-like foliage</t>
  </si>
  <si>
    <t>Yes</t>
  </si>
  <si>
    <t>Acorus Gramineus 'Ogon'</t>
  </si>
  <si>
    <t>wonderful golden/green variegated foliage</t>
  </si>
  <si>
    <t>1,2</t>
  </si>
  <si>
    <t>Acorus Gramineus 'Variegatus'</t>
  </si>
  <si>
    <t>dwarf rush</t>
  </si>
  <si>
    <t>evergreen green/cream variegated foliage</t>
  </si>
  <si>
    <t>N</t>
  </si>
  <si>
    <t>Alisma Plantago</t>
  </si>
  <si>
    <t>water plantain</t>
  </si>
  <si>
    <t>small dainty white flowers over ovate foliage</t>
  </si>
  <si>
    <t>Butomus Umbellatus</t>
  </si>
  <si>
    <t>flowering rush</t>
  </si>
  <si>
    <t>dainty pink flowers over rush-like foliage</t>
  </si>
  <si>
    <t>Caltha Palustris</t>
  </si>
  <si>
    <t>marsh marigold</t>
  </si>
  <si>
    <t>native marigold a must have for any pond</t>
  </si>
  <si>
    <t>Carex muskingumensis</t>
  </si>
  <si>
    <t>Palm sedge</t>
  </si>
  <si>
    <t>feathery variegted bright green foliage</t>
  </si>
  <si>
    <t>Carnation Grass</t>
  </si>
  <si>
    <t>native sedge, bluish slender leaves, compact</t>
  </si>
  <si>
    <t>Taro</t>
  </si>
  <si>
    <t>Cyperus Alternifolius</t>
  </si>
  <si>
    <t>wonderful, architectural umbrella-like bracts</t>
  </si>
  <si>
    <t>mop-like heads of spikelets on triangular stems</t>
  </si>
  <si>
    <t>Equisetum Japonicum</t>
  </si>
  <si>
    <t>barred horsetail</t>
  </si>
  <si>
    <t>striking must-have for all ponds, evergreen</t>
  </si>
  <si>
    <t>Equisetum Scirpoides</t>
  </si>
  <si>
    <t>dwarf scouring rush</t>
  </si>
  <si>
    <t>minature, thin green stems, barred with black rings</t>
  </si>
  <si>
    <t>Glyceria Aquatica Variegata</t>
  </si>
  <si>
    <t>green &amp; white sweet grass</t>
  </si>
  <si>
    <t>attractive creamy variegated foliage</t>
  </si>
  <si>
    <t>Gratiola Officinalis</t>
  </si>
  <si>
    <t>summer snowflake</t>
  </si>
  <si>
    <t>dainty white flowers over bright green foliage</t>
  </si>
  <si>
    <t>harlequin plant</t>
  </si>
  <si>
    <t>Not Frost hardy</t>
  </si>
  <si>
    <t>Hypericum Elodes</t>
  </si>
  <si>
    <t>marsh st johns wort</t>
  </si>
  <si>
    <t>mat-forming native with yellow flowers</t>
  </si>
  <si>
    <t>one of the largest flowers of all aquatic irises, stunning</t>
  </si>
  <si>
    <t>Iris Ensata White</t>
  </si>
  <si>
    <t>beautiful white flowers on tall stems held above the leaves</t>
  </si>
  <si>
    <t>Iris pseudacorus</t>
  </si>
  <si>
    <t>yellow iris</t>
  </si>
  <si>
    <t>the only native aquatic iris, hardy and tough</t>
  </si>
  <si>
    <t>Iris Setosa</t>
  </si>
  <si>
    <t>bluish-purple blooms over compact green leaves</t>
  </si>
  <si>
    <t>Siberian iris</t>
  </si>
  <si>
    <t>beautiful white flowers with yellow throats</t>
  </si>
  <si>
    <t>Iris Versicolor</t>
  </si>
  <si>
    <t>american water iris</t>
  </si>
  <si>
    <t xml:space="preserve">wonderful blue flowers over sword-like foliage, </t>
  </si>
  <si>
    <t>Juncus effusus Spiralis</t>
  </si>
  <si>
    <t>corkscrew rush</t>
  </si>
  <si>
    <t>unusual corkscrew like foliage, evergreen</t>
  </si>
  <si>
    <t>Juncus Inflexus</t>
  </si>
  <si>
    <t>hard rush</t>
  </si>
  <si>
    <t>glaucous blue, needle like foliage, to 50cm</t>
  </si>
  <si>
    <t>Lobelia cardinalis</t>
  </si>
  <si>
    <t xml:space="preserve"> cardinal flower</t>
  </si>
  <si>
    <t>bright green oblong leaves and brilliant scarlet flowerds</t>
  </si>
  <si>
    <t>red cardinal</t>
  </si>
  <si>
    <t>Lobelia Syphilitica</t>
  </si>
  <si>
    <t>blue cardinal</t>
  </si>
  <si>
    <t>spikes of brilliant true blue flowers</t>
  </si>
  <si>
    <t>Lobelia Syphilitica alba</t>
  </si>
  <si>
    <t>white cardinal</t>
  </si>
  <si>
    <t>pure white flowers over green foliage</t>
  </si>
  <si>
    <t>Lysimachia Nummularia</t>
  </si>
  <si>
    <t>creeping jenny</t>
  </si>
  <si>
    <t>perfect for the pondside or margin</t>
  </si>
  <si>
    <t>Lysimachia Nummularia Aurea</t>
  </si>
  <si>
    <t>golden jenny</t>
  </si>
  <si>
    <t>low rafting mat of golden foliage with yellow flowers</t>
  </si>
  <si>
    <t>Lythrum Salicaria</t>
  </si>
  <si>
    <t>purple loosestrife</t>
  </si>
  <si>
    <t>beautiful tall pink flowers throughout the season</t>
  </si>
  <si>
    <t>chinese marsh flower</t>
  </si>
  <si>
    <t>native to Asia, abundance of blue flowers</t>
  </si>
  <si>
    <t>Mazus Reptans Blue</t>
  </si>
  <si>
    <t>white chinese marsh flower</t>
  </si>
  <si>
    <t>native to Asia, abundance of white flowers</t>
  </si>
  <si>
    <t>Mentha Aquatica</t>
  </si>
  <si>
    <t>water mint</t>
  </si>
  <si>
    <t>a must have herb for every pondkeeper</t>
  </si>
  <si>
    <t>Mentha Pulegium</t>
  </si>
  <si>
    <t>penny royal</t>
  </si>
  <si>
    <t>a creeping mint, compact and aromatic</t>
  </si>
  <si>
    <t>Mimulus Ringens</t>
  </si>
  <si>
    <t>lavender musk</t>
  </si>
  <si>
    <t>name stems from flowers likeness to a monkey's face</t>
  </si>
  <si>
    <t>Myosotis Palustris</t>
  </si>
  <si>
    <t>water forget-me-not</t>
  </si>
  <si>
    <t>must have for every pond, small blue flowers</t>
  </si>
  <si>
    <t>Myosotis Palustris Alba</t>
  </si>
  <si>
    <t>White water forget-me-not</t>
  </si>
  <si>
    <t>bright green foliage and pretty white flowers.</t>
  </si>
  <si>
    <t>Oenanthe Flamingo</t>
  </si>
  <si>
    <t>variegated water dropwort</t>
  </si>
  <si>
    <t>wonderful tricolour, pink, green and white foliage</t>
  </si>
  <si>
    <t xml:space="preserve">Phalaris arundinacea 'Picta'   </t>
  </si>
  <si>
    <t>gardener's garters</t>
  </si>
  <si>
    <t>offering bold stripes of white, pale and dark green</t>
  </si>
  <si>
    <t>Polygonium Amphibium</t>
  </si>
  <si>
    <t>water bistort</t>
  </si>
  <si>
    <t>pink flowers above the surface</t>
  </si>
  <si>
    <t>Preslia Cervina</t>
  </si>
  <si>
    <t>water spearmint</t>
  </si>
  <si>
    <t>attractive lilac flowers and strongly scented foliage</t>
  </si>
  <si>
    <t>Preslia Cervina Alba</t>
  </si>
  <si>
    <t>white water spearmint</t>
  </si>
  <si>
    <t>attractive white flowers and strongly scented foliage</t>
  </si>
  <si>
    <t>Ranunculus Flammula</t>
  </si>
  <si>
    <t>lesser spearwort</t>
  </si>
  <si>
    <t>wonderful little yellow buttercup flowers</t>
  </si>
  <si>
    <t>Ranunculus lingua grandiflora</t>
  </si>
  <si>
    <t>greater spearwort</t>
  </si>
  <si>
    <t>largest of the buttercup family</t>
  </si>
  <si>
    <t>Sagittaria Sagittifolia</t>
  </si>
  <si>
    <t>arrowhead</t>
  </si>
  <si>
    <t>white flowers contrasting with green arrowhead foliage</t>
  </si>
  <si>
    <t>Saururus Cernuus</t>
  </si>
  <si>
    <t>lizard's tail</t>
  </si>
  <si>
    <t>unusual flower resembling a lizard's tail</t>
  </si>
  <si>
    <t>tiny iris-like foliage with an abundance of yellow flowers</t>
  </si>
  <si>
    <t>Typha Angustifolia</t>
  </si>
  <si>
    <t>lesser reedmace</t>
  </si>
  <si>
    <t>often wrongly named lesser bulrush</t>
  </si>
  <si>
    <t>Typha Minima</t>
  </si>
  <si>
    <t>dwarf reedmace</t>
  </si>
  <si>
    <t>the most delicate of the reedmace, ideal for features</t>
  </si>
  <si>
    <t>Veronica beccabunga</t>
  </si>
  <si>
    <t>brooklime</t>
  </si>
  <si>
    <t>a real functional native, great for all ponds</t>
  </si>
  <si>
    <t>Zantedeschia aethiopica</t>
  </si>
  <si>
    <t>Arum lily</t>
  </si>
  <si>
    <t xml:space="preserve">Bright white flowers over large speckled foliage. </t>
  </si>
  <si>
    <t>Total</t>
  </si>
  <si>
    <t>Plant Name</t>
  </si>
  <si>
    <t>meadow primrose</t>
  </si>
  <si>
    <t>pretty primrose with rose red blooms</t>
  </si>
  <si>
    <t>x3</t>
  </si>
  <si>
    <t xml:space="preserve"> </t>
  </si>
  <si>
    <t>variegated sweet rush</t>
  </si>
  <si>
    <t>fragrant, creamy-white variegated foliage</t>
  </si>
  <si>
    <t>Anemopsis californicum</t>
  </si>
  <si>
    <t>apache beads</t>
  </si>
  <si>
    <t xml:space="preserve">unusual scented foliage big white flowers produces rafting runners </t>
  </si>
  <si>
    <t>indian shot lily</t>
  </si>
  <si>
    <t>big bright flowers our best mix.</t>
  </si>
  <si>
    <t xml:space="preserve">dark burgundy stems and large bluish green heart shapes leaves </t>
  </si>
  <si>
    <t>Cyperus Percamenthus</t>
  </si>
  <si>
    <t>Dwarf Eygyptain Paper Grass</t>
  </si>
  <si>
    <t>Houttuynia cordata</t>
  </si>
  <si>
    <t>lovely heart shaped leaves, smelling of orange peel, pretty white flowers</t>
  </si>
  <si>
    <t>scented, multi coloured foliage, smelling of orange peel</t>
  </si>
  <si>
    <t xml:space="preserve"> Japanese flag</t>
  </si>
  <si>
    <t>Iris laevigata Rose Queen</t>
  </si>
  <si>
    <t>gorgeous rose-pink flowers with darker veining</t>
  </si>
  <si>
    <t>Iris pseudacorus Alba</t>
  </si>
  <si>
    <t>white flag iris</t>
  </si>
  <si>
    <t>white blooms the only native aquatic iris, hardy and tough</t>
  </si>
  <si>
    <t>Iris pseudacorus Blue</t>
  </si>
  <si>
    <t xml:space="preserve">blue flag iris </t>
  </si>
  <si>
    <t>wonderful blue flowers over sword-like foliage</t>
  </si>
  <si>
    <t>red cardinal flower</t>
  </si>
  <si>
    <t>ragged robbin</t>
  </si>
  <si>
    <t xml:space="preserve">light pink double flowering beautiful and bees and butterflies </t>
  </si>
  <si>
    <t>Pontederia Cordata</t>
  </si>
  <si>
    <t>american native with handsome blue flowers</t>
  </si>
  <si>
    <t>Pontederia Cordata Alba</t>
  </si>
  <si>
    <t>handsome white flowering form of pickeral weed</t>
  </si>
  <si>
    <t>Pontederia Lanceolata</t>
  </si>
  <si>
    <t>blue  poker-like flowers overlance shaped leaves</t>
  </si>
  <si>
    <t>zebra rush</t>
  </si>
  <si>
    <t>striking green, creamy-white horizontally banded stems</t>
  </si>
  <si>
    <t>Sparganium erectum</t>
  </si>
  <si>
    <t>green leaves with white flower that turn into star like burs</t>
  </si>
  <si>
    <t xml:space="preserve">Tulbaghia violacea </t>
  </si>
  <si>
    <t xml:space="preserve">society garlic </t>
  </si>
  <si>
    <t xml:space="preserve">violet flowers with beautifully scented light green foliage. </t>
  </si>
  <si>
    <t>our selection</t>
  </si>
  <si>
    <t xml:space="preserve">2L baskets that floats on the water surface with 2 marginals </t>
  </si>
  <si>
    <t>x2</t>
  </si>
  <si>
    <t>x10</t>
  </si>
  <si>
    <t>pink bog pimpernel</t>
  </si>
  <si>
    <t>produces wonderful tiny pink flowers</t>
  </si>
  <si>
    <t>water hyssop</t>
  </si>
  <si>
    <t>lovely lemon foilage with small lilac flowers</t>
  </si>
  <si>
    <t>Hippuris vulgaris</t>
  </si>
  <si>
    <t>marestail</t>
  </si>
  <si>
    <t>a real tough plant, now a 1st choice oxy</t>
  </si>
  <si>
    <t>Hottonia palustris</t>
  </si>
  <si>
    <t>water violet</t>
  </si>
  <si>
    <t>soft lilac-pink flowers throughout summer</t>
  </si>
  <si>
    <t>Hydrocotyle Variegata</t>
  </si>
  <si>
    <t>variegated pennywort</t>
  </si>
  <si>
    <t>dainty green foliage with cream edges</t>
  </si>
  <si>
    <t>Hydrocotyle Vulgaris</t>
  </si>
  <si>
    <t>marsh pennywort</t>
  </si>
  <si>
    <t>dainty circular green foliage</t>
  </si>
  <si>
    <t>Lilaeopsis brasilensis</t>
  </si>
  <si>
    <t>micro sword</t>
  </si>
  <si>
    <t>low growing grass like oxy</t>
  </si>
  <si>
    <t>Myriophyllum crispatum</t>
  </si>
  <si>
    <t>olive green, feather-like foliage</t>
  </si>
  <si>
    <t xml:space="preserve">Myriophyllum red stem    </t>
  </si>
  <si>
    <t>red stemmed p. feather</t>
  </si>
  <si>
    <t>attractive red stems, green foliage</t>
  </si>
  <si>
    <t>Scirpus Cernuus</t>
  </si>
  <si>
    <t>cotton bud grass</t>
  </si>
  <si>
    <t>grass, with tiny flowers, almost fibre optic</t>
  </si>
  <si>
    <t>spiked milfoil</t>
  </si>
  <si>
    <t>White Waterlily</t>
  </si>
  <si>
    <t>White</t>
  </si>
  <si>
    <t>our best selection of small and medium sized lilies</t>
  </si>
  <si>
    <t>Pink Waterlily</t>
  </si>
  <si>
    <t>Pink</t>
  </si>
  <si>
    <t>Red Waterlily</t>
  </si>
  <si>
    <t>Red</t>
  </si>
  <si>
    <t>Yellow Waterlily</t>
  </si>
  <si>
    <t>Yellow</t>
  </si>
  <si>
    <t>Copper</t>
  </si>
  <si>
    <t xml:space="preserve">small changeable copper flower ideal for small features </t>
  </si>
  <si>
    <t xml:space="preserve">small oval, dark green leaves to 8cm in diameter. With a minature white flower </t>
  </si>
  <si>
    <t>small cup like pink flowers outer petals fade to white with age</t>
  </si>
  <si>
    <t>offering many shades of red flowers above small lily pads</t>
  </si>
  <si>
    <t>wonderful small yellow blooms above small pads, yellow flowering</t>
  </si>
  <si>
    <t>Copper Waterlily</t>
  </si>
  <si>
    <t>Nymphoides peltata</t>
  </si>
  <si>
    <t>Floating Oxy Tub Ceratophyllum demersum</t>
  </si>
  <si>
    <t>hornwort</t>
  </si>
  <si>
    <t>clear round 15cm pot with plant inside</t>
  </si>
  <si>
    <t xml:space="preserve">x8 </t>
  </si>
  <si>
    <t>Floating Oxy Tub Elodea Densa</t>
  </si>
  <si>
    <t>Egeria densa</t>
  </si>
  <si>
    <t>blue/clear square 11cm pot with a plant inside</t>
  </si>
  <si>
    <t>water moss</t>
  </si>
  <si>
    <t>Floating Tub Hydrocharis morsus ranae</t>
  </si>
  <si>
    <t>frogbit</t>
  </si>
  <si>
    <t>lily pad like foliage with a white flower with yellow centre</t>
  </si>
  <si>
    <t>Floating Tub Hydrocleys nymphoides</t>
  </si>
  <si>
    <t xml:space="preserve">Heart shaped leaves with poppy like light yellow flowers </t>
  </si>
  <si>
    <t>Floating Tub Salvinia Natans</t>
  </si>
  <si>
    <t>water butterfly wings</t>
  </si>
  <si>
    <t>roots provide an excellent hiding place for small life </t>
  </si>
  <si>
    <t>Floating Tub Stratiotes Aloides</t>
  </si>
  <si>
    <t>water soldiers</t>
  </si>
  <si>
    <t>long narrow and serrated leaves bearing white flowers</t>
  </si>
  <si>
    <t>Floating Tub Trappa natans</t>
  </si>
  <si>
    <t>water chestnut</t>
  </si>
  <si>
    <t xml:space="preserve">one of the most widly consumed nuts in Asia </t>
  </si>
  <si>
    <t>x25</t>
  </si>
  <si>
    <t>Product</t>
  </si>
  <si>
    <t>Price</t>
  </si>
  <si>
    <t>Mini Square 1L 11x11cm</t>
  </si>
  <si>
    <t>32p standard / 35p barcoded</t>
  </si>
  <si>
    <t>Small Square 2L 19x19cm</t>
  </si>
  <si>
    <t>51p standard / 54p barcoded</t>
  </si>
  <si>
    <t>Medium Square 5L 23x23cm</t>
  </si>
  <si>
    <t>81p standard / 84p barcoded</t>
  </si>
  <si>
    <t>Large Square 10L 28x28cm</t>
  </si>
  <si>
    <t>£1.16 standard / £1.19 barcoded</t>
  </si>
  <si>
    <t>XL Square 28L 35x35cm</t>
  </si>
  <si>
    <t>£2.48 standard / £2.51barcoded</t>
  </si>
  <si>
    <t>10.5cm Round</t>
  </si>
  <si>
    <t>34p standard / 37p barcoded</t>
  </si>
  <si>
    <t>Medium Round 2L 17cm</t>
  </si>
  <si>
    <t>64p standard / 67p barcoded</t>
  </si>
  <si>
    <t>Large Round 3L 22cm</t>
  </si>
  <si>
    <t>74p standard / 77p barcoded</t>
  </si>
  <si>
    <t xml:space="preserve">Jumbo Round 24L </t>
  </si>
  <si>
    <t>£3.84 standard / £3.87 barcoded</t>
  </si>
  <si>
    <t>Contour 8L</t>
  </si>
  <si>
    <t>£1.15 standard / £1.18 barcoded</t>
  </si>
  <si>
    <t>Oval 4L</t>
  </si>
  <si>
    <t>72p standard / 75p barcoded</t>
  </si>
  <si>
    <t>Aquatic Compost</t>
  </si>
  <si>
    <t>120x 10L Premium Aquatic Compost</t>
  </si>
  <si>
    <t>£3.29 per bag</t>
  </si>
  <si>
    <t>60 x 20L Premium Aquatic Compost</t>
  </si>
  <si>
    <t>£5.58 per bag</t>
  </si>
  <si>
    <t>Other Dry Goods</t>
  </si>
  <si>
    <t>Bag Dispenser</t>
  </si>
  <si>
    <t>£32.31</t>
  </si>
  <si>
    <t>Bags for Bag Dispenser</t>
  </si>
  <si>
    <t>£10.77</t>
  </si>
  <si>
    <t>21cm Round Deco Pot - light blue</t>
  </si>
  <si>
    <t>21cm Round Deco Pot - light green</t>
  </si>
  <si>
    <t>21cm Round Deco Pot - light grey</t>
  </si>
  <si>
    <t>42cm Hexagonal Deco pot - light green</t>
  </si>
  <si>
    <t>Point of Sale</t>
  </si>
  <si>
    <t>Gardeners Choice POS Strip</t>
  </si>
  <si>
    <t>Marginal Poster</t>
  </si>
  <si>
    <t>Wildlife Poster</t>
  </si>
  <si>
    <t>Aqua Basket Poster</t>
  </si>
  <si>
    <t>84 per shelf</t>
  </si>
  <si>
    <t>60 per shelf</t>
  </si>
  <si>
    <t>24 per shelf</t>
  </si>
  <si>
    <t>branched bur reed</t>
  </si>
  <si>
    <t>arum lily</t>
  </si>
  <si>
    <t>15 per shelf</t>
  </si>
  <si>
    <t>Planted Contour Baskets</t>
  </si>
  <si>
    <t>40 per shelf</t>
  </si>
  <si>
    <t>50 per shelf</t>
  </si>
  <si>
    <t>waterpoppy</t>
  </si>
  <si>
    <t>42cm Hexagonal Deco pot - teracotta</t>
  </si>
  <si>
    <t>Bletilla striata</t>
  </si>
  <si>
    <t>Caltha palustris 'Multiplex'</t>
  </si>
  <si>
    <t>Carex pendula</t>
  </si>
  <si>
    <t>Fritillaria meleagris</t>
  </si>
  <si>
    <t>Geum rivale</t>
  </si>
  <si>
    <t>Iris Ensata Kaempferi</t>
  </si>
  <si>
    <t xml:space="preserve">Iris pseudacorus Alba </t>
  </si>
  <si>
    <t xml:space="preserve">Iris pseudacorus Blue </t>
  </si>
  <si>
    <t>Iris pseudacorus 'Variegata'</t>
  </si>
  <si>
    <t>Lychnis flos-cuculi</t>
  </si>
  <si>
    <t>Primula rosea</t>
  </si>
  <si>
    <t>Rumex sauvignea</t>
  </si>
  <si>
    <t>Sagittaria graminea</t>
  </si>
  <si>
    <t>Schizostylis coc. 'Mrs. Hegarty'</t>
  </si>
  <si>
    <t>Zephranthes candida</t>
  </si>
  <si>
    <t xml:space="preserve">fragrant dainty purple flowers </t>
  </si>
  <si>
    <t>chinese ground orchid</t>
  </si>
  <si>
    <t xml:space="preserve">beautiful white flowers perfect for margins </t>
  </si>
  <si>
    <t>double flowering marigold very popular</t>
  </si>
  <si>
    <t xml:space="preserve">pendulous flowers with this native sedge  </t>
  </si>
  <si>
    <t>snake's head fritillary</t>
  </si>
  <si>
    <t xml:space="preserve">checked purple bell shaped flowers </t>
  </si>
  <si>
    <t>water avens</t>
  </si>
  <si>
    <t xml:space="preserve">coppery pink flowers  for spring colour </t>
  </si>
  <si>
    <t>blood grass</t>
  </si>
  <si>
    <t xml:space="preserve">Imperata red baron </t>
  </si>
  <si>
    <t>American water iris</t>
  </si>
  <si>
    <t xml:space="preserve">deep red foliage very striking </t>
  </si>
  <si>
    <t xml:space="preserve">red flowering moisture loving iris lush growth </t>
  </si>
  <si>
    <t xml:space="preserve">deep purple almost black flower </t>
  </si>
  <si>
    <t>purple blue flowers with yellowing centre</t>
  </si>
  <si>
    <t xml:space="preserve">off white cream flowers </t>
  </si>
  <si>
    <t>striking variegated leaves with yellow flowers</t>
  </si>
  <si>
    <t>white iris</t>
  </si>
  <si>
    <t>blue iris</t>
  </si>
  <si>
    <t>double flowering marigold</t>
  </si>
  <si>
    <t>white marsh marigold</t>
  </si>
  <si>
    <t>pendulous sedge</t>
  </si>
  <si>
    <t>ragged robin</t>
  </si>
  <si>
    <t>shortperennial with delicate pink flowers</t>
  </si>
  <si>
    <t>red vein dock</t>
  </si>
  <si>
    <t xml:space="preserve">deep red fveins through the deep green leaf </t>
  </si>
  <si>
    <t>grassy arrowhead</t>
  </si>
  <si>
    <t xml:space="preserve">compact with grassy foliage and bright white flowers </t>
  </si>
  <si>
    <t xml:space="preserve">sword shaped leaves produce light pink flowers </t>
  </si>
  <si>
    <t xml:space="preserve">red gladious like flowers produced late summer </t>
  </si>
  <si>
    <t>Thulbachia violace</t>
  </si>
  <si>
    <t>society garlic</t>
  </si>
  <si>
    <t xml:space="preserve">violet flower stems lightly fragrant </t>
  </si>
  <si>
    <t>peruvian swamp lily</t>
  </si>
  <si>
    <t xml:space="preserve">goblet shaped white flowerds in late summer </t>
  </si>
  <si>
    <t xml:space="preserve">Price </t>
  </si>
  <si>
    <t>code</t>
  </si>
  <si>
    <t>B</t>
  </si>
  <si>
    <t>D</t>
  </si>
  <si>
    <t>A</t>
  </si>
  <si>
    <t>F</t>
  </si>
  <si>
    <t>C</t>
  </si>
  <si>
    <t>E</t>
  </si>
  <si>
    <t>Lychnis flos-cuculli</t>
  </si>
  <si>
    <t>Carex riparia</t>
  </si>
  <si>
    <t>Eriophorum angustifolium</t>
  </si>
  <si>
    <t>Juncus inflexus</t>
  </si>
  <si>
    <t>Thalia dealbata</t>
  </si>
  <si>
    <t xml:space="preserve">Zantedeschia Pink </t>
  </si>
  <si>
    <t>I</t>
  </si>
  <si>
    <t>J</t>
  </si>
  <si>
    <t>cotton grass</t>
  </si>
  <si>
    <t xml:space="preserve">white cotton like flowers with grass foliage </t>
  </si>
  <si>
    <t xml:space="preserve">hard rush </t>
  </si>
  <si>
    <t xml:space="preserve">glaucus needle like foliage clump forming rush </t>
  </si>
  <si>
    <t>Phalaris arundinaea 'Picta'</t>
  </si>
  <si>
    <t>gardeners garter</t>
  </si>
  <si>
    <t xml:space="preserve">pink and cream white variegated foliage. </t>
  </si>
  <si>
    <t xml:space="preserve">striking deep purple flowers over tropical looking foliage </t>
  </si>
  <si>
    <t>variegated reedmace</t>
  </si>
  <si>
    <t xml:space="preserve">white variegated leaves with cigar like flowers </t>
  </si>
  <si>
    <t xml:space="preserve">large pure white flowers over lush waxy leaves </t>
  </si>
  <si>
    <t>pink arum lily</t>
  </si>
  <si>
    <t xml:space="preserve">large light pink flowers over lush waxy leaves </t>
  </si>
  <si>
    <t xml:space="preserve">18cm Ready To Plant Baskets  </t>
  </si>
  <si>
    <t>Code</t>
  </si>
  <si>
    <t>Rotala indica</t>
  </si>
  <si>
    <t>Rotala rotundifolia green</t>
  </si>
  <si>
    <t>fringed lily</t>
  </si>
  <si>
    <t>indian toothcup</t>
  </si>
  <si>
    <t xml:space="preserve">fringed buttercup yellow flowers float wit rounded pads </t>
  </si>
  <si>
    <t xml:space="preserve">rounded leaves with pink flowers </t>
  </si>
  <si>
    <t xml:space="preserve">white flowering oxy perfect insects </t>
  </si>
  <si>
    <t>Themed Six-Packs</t>
  </si>
  <si>
    <t>Blooming</t>
  </si>
  <si>
    <t>Fragrant</t>
  </si>
  <si>
    <t>Insect friendly</t>
  </si>
  <si>
    <t xml:space="preserve">Oxygenating </t>
  </si>
  <si>
    <t xml:space="preserve">6 x 9cm pots suited to the labelled theme </t>
  </si>
  <si>
    <t>Full of flower and colours</t>
  </si>
  <si>
    <t xml:space="preserve">Scented leaves and flowers </t>
  </si>
  <si>
    <t>Purity and oxygen</t>
  </si>
  <si>
    <t>Encourage wildlife and pollinators</t>
  </si>
  <si>
    <t>UK native plants perfect for ponds</t>
  </si>
  <si>
    <t xml:space="preserve">A collection of plants suited to key aquatic and gardening themes ready with bright convenient handle </t>
  </si>
  <si>
    <t>Aponogeton distachyos</t>
  </si>
  <si>
    <t>Mixed</t>
  </si>
  <si>
    <t>11cm Oxygenators</t>
  </si>
  <si>
    <t>18cm Oxygenators</t>
  </si>
  <si>
    <t>K</t>
  </si>
  <si>
    <t>L</t>
  </si>
  <si>
    <t>M</t>
  </si>
  <si>
    <t>Floating Tub Heternantera reniformis</t>
  </si>
  <si>
    <t>Floating Tub Limnobium spangia</t>
  </si>
  <si>
    <t>Floating Tub Phillanthus fusstans</t>
  </si>
  <si>
    <t>x12</t>
  </si>
  <si>
    <t xml:space="preserve">Floating mix in small tubs </t>
  </si>
  <si>
    <t>Floating Plant In Small Tubs</t>
  </si>
  <si>
    <t>Floating Plant In Tubs</t>
  </si>
  <si>
    <t>Oxygenators In Tubs</t>
  </si>
  <si>
    <t>mud plantain</t>
  </si>
  <si>
    <t>Green leaves turn red with striking red roots</t>
  </si>
  <si>
    <t>American frogbit</t>
  </si>
  <si>
    <t xml:space="preserve">Loose rosettes of thick rounded hearshaped leaves </t>
  </si>
  <si>
    <t>Fragrant white flowers double flowering cylce</t>
  </si>
  <si>
    <t>18cm Medium Waterlilies By Colour</t>
  </si>
  <si>
    <t>18cm Large Waterlilies By Colour</t>
  </si>
  <si>
    <t>Nuphar leuteum</t>
  </si>
  <si>
    <t xml:space="preserve">lush green pads with yellow buttercup shaped </t>
  </si>
  <si>
    <t xml:space="preserve">Nymphaea Mix Trio </t>
  </si>
  <si>
    <t xml:space="preserve">14 per shelf </t>
  </si>
  <si>
    <t xml:space="preserve">11cm Pygmaea Waterlilies  </t>
  </si>
  <si>
    <t>Carex panicea</t>
  </si>
  <si>
    <t>variegated flag iris</t>
  </si>
  <si>
    <t>golden variegated sweet flag</t>
  </si>
  <si>
    <t>umbrella plant</t>
  </si>
  <si>
    <t>variegated Japanese flag</t>
  </si>
  <si>
    <t xml:space="preserve">bristle pointed iris </t>
  </si>
  <si>
    <t>pickerel weed</t>
  </si>
  <si>
    <t xml:space="preserve"> lance leaved pickerel weed</t>
  </si>
  <si>
    <t>wihite water spearmint</t>
  </si>
  <si>
    <t xml:space="preserve">cape lily </t>
  </si>
  <si>
    <t>Aligator flag</t>
  </si>
  <si>
    <t xml:space="preserve">18cm  Small Waterlilies And Mixed Baskets </t>
  </si>
  <si>
    <t>Nymphaea Mix Trio Small</t>
  </si>
  <si>
    <t xml:space="preserve">Pontederia Cordata </t>
  </si>
  <si>
    <t>Primula Vialli</t>
  </si>
  <si>
    <t xml:space="preserve">A red flower spike emerges followed by delicate purple flowers </t>
  </si>
  <si>
    <t>Typha angustifolia</t>
  </si>
  <si>
    <t>Typha minima</t>
  </si>
  <si>
    <t xml:space="preserve">Hydrocotyle Vulgaris </t>
  </si>
  <si>
    <t>pennywort</t>
  </si>
  <si>
    <t xml:space="preserve">Round green leaves raft creat nice displays </t>
  </si>
  <si>
    <t xml:space="preserve">Mazus reptans Alba </t>
  </si>
  <si>
    <t xml:space="preserve">chinese marsh flower </t>
  </si>
  <si>
    <t xml:space="preserve">white chinese marsh flower </t>
  </si>
  <si>
    <t xml:space="preserve">Menyanthes trifoliata </t>
  </si>
  <si>
    <t xml:space="preserve">bogbean </t>
  </si>
  <si>
    <t xml:space="preserve">Three leaved rafting plant with delicate white flowers </t>
  </si>
  <si>
    <t>Canna Julia</t>
  </si>
  <si>
    <t>Canna Carmen</t>
  </si>
  <si>
    <t>Colocasia esculenta</t>
  </si>
  <si>
    <t>Colocasia kona coffee</t>
  </si>
  <si>
    <t xml:space="preserve">Anagallis tenella </t>
  </si>
  <si>
    <t>21 per shelf</t>
  </si>
  <si>
    <t>Barcode</t>
  </si>
  <si>
    <t xml:space="preserve">8719743713611
</t>
  </si>
  <si>
    <t xml:space="preserve">8719743713642
</t>
  </si>
  <si>
    <t xml:space="preserve">8719743713628
</t>
  </si>
  <si>
    <t xml:space="preserve">8719743713635
</t>
  </si>
  <si>
    <t>11cm Aurora</t>
  </si>
  <si>
    <t>11cm Laydekeri lilacea</t>
  </si>
  <si>
    <t>11cm Pygmaea Helvola</t>
  </si>
  <si>
    <t>11cm Aponogeton distachyos</t>
  </si>
  <si>
    <t>11cm Pygmaea Alba</t>
  </si>
  <si>
    <t>11cm Pygmaea Rubra</t>
  </si>
  <si>
    <t xml:space="preserve">8719743713475
</t>
  </si>
  <si>
    <t xml:space="preserve">8719743713536
</t>
  </si>
  <si>
    <t xml:space="preserve">Barcode </t>
  </si>
  <si>
    <t xml:space="preserve">x12 </t>
  </si>
  <si>
    <r>
      <t xml:space="preserve">Moss Balls  Chadlaphlora </t>
    </r>
    <r>
      <rPr>
        <b/>
        <sz val="18"/>
        <rFont val="Aptos Narrow"/>
        <family val="2"/>
        <scheme val="minor"/>
      </rPr>
      <t>New for 2026</t>
    </r>
  </si>
  <si>
    <t xml:space="preserve">Cylindrical glass vase with 2 moss balls </t>
  </si>
  <si>
    <t xml:space="preserve">Cylindrical glass vase with 3 moss balls </t>
  </si>
  <si>
    <t>planted with 3 different small waterlilies</t>
  </si>
  <si>
    <t>our best selection of medium sized lilies</t>
  </si>
  <si>
    <t>our best selection of small sized lilies</t>
  </si>
  <si>
    <t>Planted with 3 different flower colours</t>
  </si>
  <si>
    <t>our best selection of large sized lilies</t>
  </si>
  <si>
    <t>fragrant white flowers double flowering cylce</t>
  </si>
  <si>
    <t>Caltha leptosepala 'Alba'</t>
  </si>
  <si>
    <t>Houttuynia cordata Chameleon</t>
  </si>
  <si>
    <t>Iris louisiana black 'Gamecock'</t>
  </si>
  <si>
    <t>Iris Sibirica not quiet white</t>
  </si>
  <si>
    <t>Lobelia fulgens Queen Victoria</t>
  </si>
  <si>
    <t>Japanese flag</t>
  </si>
  <si>
    <t>Mazus reptans Albus</t>
  </si>
  <si>
    <t>2,3,4,5</t>
  </si>
  <si>
    <t>Pickerel weed blue</t>
  </si>
  <si>
    <t xml:space="preserve">Chinese pagoda primula </t>
  </si>
  <si>
    <t>Schizostylis coccinea 'Major'</t>
  </si>
  <si>
    <t>Anagalis tenella</t>
  </si>
  <si>
    <t>Bacopa caroliniana</t>
  </si>
  <si>
    <t>3,4,5</t>
  </si>
  <si>
    <t>Acorus Calamus 'Variegata'</t>
  </si>
  <si>
    <t>Caltha leptosepata 'Alba'</t>
  </si>
  <si>
    <t>Houttuynia cordata chameleon</t>
  </si>
  <si>
    <t>Iris kaempferi Variegata (Ensata)</t>
  </si>
  <si>
    <t>Iris Kaempferi Ensata</t>
  </si>
  <si>
    <t>Iris Louisiana 'Black Gamecock'</t>
  </si>
  <si>
    <t>Mazus reptans Blue</t>
  </si>
  <si>
    <t>Oenanthe fistulosa Flamingo</t>
  </si>
  <si>
    <t>Rumex sanguineus</t>
  </si>
  <si>
    <t>Scirpus tabernaemontanii zebrinus</t>
  </si>
  <si>
    <t>Typha latifolia 'Variegata'</t>
  </si>
  <si>
    <t>Hydrocotyle sibthorpioides variegata</t>
  </si>
  <si>
    <t>Myriophyllum crispata</t>
  </si>
  <si>
    <t xml:space="preserve">Myriophyllum rubricaule  </t>
  </si>
  <si>
    <t>Iris louisiana ann chowning</t>
  </si>
  <si>
    <t>Key</t>
  </si>
  <si>
    <t>Stock Priority</t>
  </si>
  <si>
    <t>Current Quality</t>
  </si>
  <si>
    <t>Top Seller</t>
  </si>
  <si>
    <t>Looks amazing</t>
  </si>
  <si>
    <t>Good Seller</t>
  </si>
  <si>
    <t>Looks good</t>
  </si>
  <si>
    <t>Steady Seller</t>
  </si>
  <si>
    <t>Limited Growth</t>
  </si>
  <si>
    <t>Place order in the blue boxes</t>
  </si>
  <si>
    <t>Space on Shelf</t>
  </si>
  <si>
    <t>Height</t>
  </si>
  <si>
    <t>Category</t>
  </si>
  <si>
    <t>Total ordered</t>
  </si>
  <si>
    <t>9cm Marginal</t>
  </si>
  <si>
    <t>Index a</t>
  </si>
  <si>
    <t>Index b</t>
  </si>
  <si>
    <t>9cm Marginals  (A &amp; B)</t>
  </si>
  <si>
    <t>Beaver Plants Order</t>
  </si>
  <si>
    <t>Quantity</t>
  </si>
  <si>
    <t>Total 9cm A&amp;B</t>
  </si>
  <si>
    <t>Total 9cm Other</t>
  </si>
  <si>
    <t>Weight</t>
  </si>
  <si>
    <t>Total 9cm Six Packs</t>
  </si>
  <si>
    <t>9cm Six-Pack</t>
  </si>
  <si>
    <t>Our Selection- Price Code I Only</t>
  </si>
  <si>
    <t>Our Selection- Price Code J Only</t>
  </si>
  <si>
    <t>Our Selection- Price Code I &amp; J</t>
  </si>
  <si>
    <t>18cm Marginal</t>
  </si>
  <si>
    <t>Planted Floating Island</t>
  </si>
  <si>
    <t>Planted Contour Basket</t>
  </si>
  <si>
    <t>Standard Planted Contour Basket A</t>
  </si>
  <si>
    <t>Standard Planted Contour Basket B</t>
  </si>
  <si>
    <t>Premium Planted Contour Basket A</t>
  </si>
  <si>
    <t>Premium Planted Contour Basket B</t>
  </si>
  <si>
    <t>11cm Oxygenator</t>
  </si>
  <si>
    <t>Assorted</t>
  </si>
  <si>
    <t>18cm Oxygenator</t>
  </si>
  <si>
    <t>11cm Waterlily</t>
  </si>
  <si>
    <t>11cm Pygmaea Waterlily</t>
  </si>
  <si>
    <t>18cm Waterlily Small</t>
  </si>
  <si>
    <t>18cm Waterlily Medium</t>
  </si>
  <si>
    <t>18cm Waterlily Large</t>
  </si>
  <si>
    <t>Oxygenator Tubs</t>
  </si>
  <si>
    <t>Floating Tubs</t>
  </si>
  <si>
    <t>Floating Tubs Small</t>
  </si>
  <si>
    <t>Rank</t>
  </si>
  <si>
    <t>All</t>
  </si>
  <si>
    <t>PS</t>
  </si>
  <si>
    <t>Aq</t>
  </si>
  <si>
    <t>Rank adjustment</t>
  </si>
  <si>
    <t>DNU</t>
  </si>
  <si>
    <t>Rank Full</t>
  </si>
  <si>
    <t>Rank pond</t>
  </si>
  <si>
    <t>Rank Aqu</t>
  </si>
  <si>
    <t>Assorted order</t>
  </si>
  <si>
    <t>Waterlily</t>
  </si>
  <si>
    <t>Item</t>
  </si>
  <si>
    <t>Shelves</t>
  </si>
  <si>
    <t>Outers</t>
  </si>
  <si>
    <t>Con St A</t>
  </si>
  <si>
    <t>Con Pr A</t>
  </si>
  <si>
    <t>Full shelves</t>
  </si>
  <si>
    <t>Shelf No.</t>
  </si>
  <si>
    <t>18cm Plant</t>
  </si>
  <si>
    <t>Category A</t>
  </si>
  <si>
    <t>Category B</t>
  </si>
  <si>
    <t>Tub</t>
  </si>
  <si>
    <t>Reference</t>
  </si>
  <si>
    <t>Other</t>
  </si>
  <si>
    <t>Ranking</t>
  </si>
  <si>
    <t>Cat</t>
  </si>
  <si>
    <t>Qty</t>
  </si>
  <si>
    <t>9cm Marginal25</t>
  </si>
  <si>
    <t>9cm Marginal30</t>
  </si>
  <si>
    <t>9cm Marginal35</t>
  </si>
  <si>
    <t>9cm Marginal40</t>
  </si>
  <si>
    <t>9cm Marginal45</t>
  </si>
  <si>
    <t>9cm Marginal50</t>
  </si>
  <si>
    <t>9cm Marginal55</t>
  </si>
  <si>
    <t>9cm Marginal60</t>
  </si>
  <si>
    <t>11cm Oxygenator25</t>
  </si>
  <si>
    <t>11cm Oxygenator30</t>
  </si>
  <si>
    <t>11cm Oxygenator35</t>
  </si>
  <si>
    <t>11cm Oxygenator40</t>
  </si>
  <si>
    <t>11cm Oxygenator45</t>
  </si>
  <si>
    <t>11cm Oxygenator50</t>
  </si>
  <si>
    <t>11cm Oxygenator55</t>
  </si>
  <si>
    <t>11cm Oxygenator60</t>
  </si>
  <si>
    <t>18cm Plant25</t>
  </si>
  <si>
    <t>18cm Plant30</t>
  </si>
  <si>
    <t>18cm Plant35</t>
  </si>
  <si>
    <t>18cm Plant40</t>
  </si>
  <si>
    <t>18cm Plant45</t>
  </si>
  <si>
    <t>18cm Plant50</t>
  </si>
  <si>
    <t>18cm Plant55</t>
  </si>
  <si>
    <t>18cm Plant60</t>
  </si>
  <si>
    <t>Planted Floating Island35</t>
  </si>
  <si>
    <t>Tub25</t>
  </si>
  <si>
    <t>Waterlily30</t>
  </si>
  <si>
    <t>shelf space</t>
  </si>
  <si>
    <t>expanded rank</t>
  </si>
  <si>
    <t>Shelf Space</t>
  </si>
  <si>
    <t>No. shelves for group</t>
  </si>
  <si>
    <t>Shelf calc</t>
  </si>
  <si>
    <t>Outstanding</t>
  </si>
  <si>
    <t>heighest shelf no.</t>
  </si>
  <si>
    <t>Planted Contour Basket Standard</t>
  </si>
  <si>
    <t>Planted Contour Basket Premium</t>
  </si>
  <si>
    <t>Planted Contour Basket Standard40</t>
  </si>
  <si>
    <t>Planted Contour Basket Premium40</t>
  </si>
  <si>
    <t>Balance Shelves</t>
  </si>
  <si>
    <t>Refernce</t>
  </si>
  <si>
    <t>Waterlilies</t>
  </si>
  <si>
    <t>Contours</t>
  </si>
  <si>
    <t>No. of wl/contour</t>
  </si>
  <si>
    <t>Cont/Wl</t>
  </si>
  <si>
    <t>Shelf</t>
  </si>
  <si>
    <t>12 per shelf</t>
  </si>
  <si>
    <t>Item 1 shelf space</t>
  </si>
  <si>
    <t>Item 2 shelf space</t>
  </si>
  <si>
    <t>- more than 1 shelf(split waterlily/contour)</t>
  </si>
  <si>
    <t>space</t>
  </si>
  <si>
    <t>Index</t>
  </si>
  <si>
    <t>balance</t>
  </si>
  <si>
    <t>Fill shelf 1</t>
  </si>
  <si>
    <t>Fill shelf 2</t>
  </si>
  <si>
    <t>Next shelf number</t>
  </si>
  <si>
    <t>max height</t>
  </si>
  <si>
    <t>height</t>
  </si>
  <si>
    <t>shelf no.</t>
  </si>
  <si>
    <t>Height (cm)</t>
  </si>
  <si>
    <t>Weight (kg)</t>
  </si>
  <si>
    <t>min trolleys</t>
  </si>
  <si>
    <t>max weight for top shelf</t>
  </si>
  <si>
    <t>Top shelf</t>
  </si>
  <si>
    <t>Top shelf rank</t>
  </si>
  <si>
    <t>Trolley</t>
  </si>
  <si>
    <t>Used</t>
  </si>
  <si>
    <t>shelf</t>
  </si>
  <si>
    <t>max height of top shelf</t>
  </si>
  <si>
    <t>Date</t>
  </si>
  <si>
    <t>Bottom rank</t>
  </si>
  <si>
    <t>No. shelves</t>
  </si>
  <si>
    <t>space left on trolley</t>
  </si>
  <si>
    <t>Space left</t>
  </si>
  <si>
    <t>shelves under max weight</t>
  </si>
  <si>
    <t>total trolley height</t>
  </si>
  <si>
    <t>Trolley 1</t>
  </si>
  <si>
    <t>not allocated</t>
  </si>
  <si>
    <t>trolley 1 initial</t>
  </si>
  <si>
    <t>adjustment</t>
  </si>
  <si>
    <t>shelf reference</t>
  </si>
  <si>
    <t>Shace on trolley</t>
  </si>
  <si>
    <t>Trolley 2</t>
  </si>
  <si>
    <t>Trolley 3</t>
  </si>
  <si>
    <t>Trolley 4</t>
  </si>
  <si>
    <t>Trolley 5</t>
  </si>
  <si>
    <t>Customer</t>
  </si>
  <si>
    <t xml:space="preserve">Date: </t>
  </si>
  <si>
    <t>Round</t>
  </si>
  <si>
    <t>location</t>
  </si>
  <si>
    <t>outer</t>
  </si>
  <si>
    <t>Outer</t>
  </si>
  <si>
    <t>Location</t>
  </si>
  <si>
    <t>Location order</t>
  </si>
  <si>
    <t>QTY</t>
  </si>
  <si>
    <t>Picked</t>
  </si>
  <si>
    <t>a</t>
  </si>
  <si>
    <t>weight</t>
  </si>
  <si>
    <t>date</t>
  </si>
  <si>
    <t>final shelf</t>
  </si>
  <si>
    <t>Trol/Shelf</t>
  </si>
  <si>
    <t>Trolley/Shelf</t>
  </si>
  <si>
    <t>Space</t>
  </si>
  <si>
    <t>Top Shelf</t>
  </si>
  <si>
    <t>% full</t>
  </si>
  <si>
    <t>ACCOUNT_REF</t>
  </si>
  <si>
    <t>CUST_ORDER_NUMBER</t>
  </si>
  <si>
    <t>QTY_ORDER</t>
  </si>
  <si>
    <t>STOCK_CODE</t>
  </si>
  <si>
    <t>Pcode</t>
  </si>
  <si>
    <t>9RACA</t>
  </si>
  <si>
    <t>9RAGO</t>
  </si>
  <si>
    <t>9RAPL</t>
  </si>
  <si>
    <t>9RBST</t>
  </si>
  <si>
    <t>9RBUM</t>
  </si>
  <si>
    <t>9RCPA</t>
  </si>
  <si>
    <t>9RCPL</t>
  </si>
  <si>
    <t>9RCPM</t>
  </si>
  <si>
    <t>9RCPN</t>
  </si>
  <si>
    <t>9RCPE</t>
  </si>
  <si>
    <t>9REJA</t>
  </si>
  <si>
    <t>9RFME</t>
  </si>
  <si>
    <t>9RGRI</t>
  </si>
  <si>
    <t>9RGAV</t>
  </si>
  <si>
    <t>9RGOF</t>
  </si>
  <si>
    <t>9RHCV</t>
  </si>
  <si>
    <t>9RHEL</t>
  </si>
  <si>
    <t>9RIRB</t>
  </si>
  <si>
    <t>9RIAC</t>
  </si>
  <si>
    <t>9RIBG</t>
  </si>
  <si>
    <t>9RIEN</t>
  </si>
  <si>
    <t>9RIEW</t>
  </si>
  <si>
    <t>9RIPS</t>
  </si>
  <si>
    <t>9RIPA</t>
  </si>
  <si>
    <t>9RIPB</t>
  </si>
  <si>
    <t>9RIPV</t>
  </si>
  <si>
    <t>9RISE</t>
  </si>
  <si>
    <t>9RISA</t>
  </si>
  <si>
    <t>9RIVE</t>
  </si>
  <si>
    <t>9RJES</t>
  </si>
  <si>
    <t>9RJIN</t>
  </si>
  <si>
    <t>9RLCA</t>
  </si>
  <si>
    <t>9RLCQ</t>
  </si>
  <si>
    <t>9RLSY</t>
  </si>
  <si>
    <t>9RLSA</t>
  </si>
  <si>
    <t>9RLFC</t>
  </si>
  <si>
    <t>9RLNU</t>
  </si>
  <si>
    <t>9RLNA</t>
  </si>
  <si>
    <t>9RLSL</t>
  </si>
  <si>
    <t>9RMRB</t>
  </si>
  <si>
    <t>9RMRA</t>
  </si>
  <si>
    <t>9RMAQ</t>
  </si>
  <si>
    <t>9RMPU</t>
  </si>
  <si>
    <t>9RMRI</t>
  </si>
  <si>
    <t>9RMPA</t>
  </si>
  <si>
    <t>9RMPL</t>
  </si>
  <si>
    <t>9ROFL</t>
  </si>
  <si>
    <t>9RPAP</t>
  </si>
  <si>
    <t>9RPAM</t>
  </si>
  <si>
    <t>9RPCO</t>
  </si>
  <si>
    <t>9RPCE</t>
  </si>
  <si>
    <t>9RPCA</t>
  </si>
  <si>
    <t>9RPRO</t>
  </si>
  <si>
    <t>9RPVI</t>
  </si>
  <si>
    <t>9RRFL</t>
  </si>
  <si>
    <t>9RRSA</t>
  </si>
  <si>
    <t>9RSGR</t>
  </si>
  <si>
    <t>9MSSA</t>
  </si>
  <si>
    <t>9MSCE</t>
  </si>
  <si>
    <t>9RSCM</t>
  </si>
  <si>
    <t>9RSCO</t>
  </si>
  <si>
    <t>9RTVI</t>
  </si>
  <si>
    <t>9RTAN</t>
  </si>
  <si>
    <t>9RTMI</t>
  </si>
  <si>
    <t>9RVBE</t>
  </si>
  <si>
    <t>9RZAE</t>
  </si>
  <si>
    <t>9RZCA</t>
  </si>
  <si>
    <t>96PBL</t>
  </si>
  <si>
    <t>96PSC</t>
  </si>
  <si>
    <t>96PIF</t>
  </si>
  <si>
    <t>96PNA</t>
  </si>
  <si>
    <t>96POX</t>
  </si>
  <si>
    <t>18RACA</t>
  </si>
  <si>
    <t>18RACV</t>
  </si>
  <si>
    <t>18RAGO</t>
  </si>
  <si>
    <t>18RACL</t>
  </si>
  <si>
    <t>18RBUM</t>
  </si>
  <si>
    <t>18RCPL</t>
  </si>
  <si>
    <t>18RCPA</t>
  </si>
  <si>
    <t>18RAGR</t>
  </si>
  <si>
    <t>18RCPM</t>
  </si>
  <si>
    <t>18RCCA</t>
  </si>
  <si>
    <t>18RCJU</t>
  </si>
  <si>
    <t>18RCMU</t>
  </si>
  <si>
    <t>18RCPE</t>
  </si>
  <si>
    <t>18RCRI</t>
  </si>
  <si>
    <t>18RCES</t>
  </si>
  <si>
    <t>18RCKC</t>
  </si>
  <si>
    <t>18RCAL</t>
  </si>
  <si>
    <t>18RCPR</t>
  </si>
  <si>
    <t>18REJA</t>
  </si>
  <si>
    <t>18RESC</t>
  </si>
  <si>
    <t>18REAN</t>
  </si>
  <si>
    <t>18RGMV</t>
  </si>
  <si>
    <t>18RGOF</t>
  </si>
  <si>
    <t>18RHCO</t>
  </si>
  <si>
    <t>18RHCC</t>
  </si>
  <si>
    <t>18RIAC</t>
  </si>
  <si>
    <t>18RIBG</t>
  </si>
  <si>
    <t>18RIEN</t>
  </si>
  <si>
    <t>18RIKV</t>
  </si>
  <si>
    <t>18RILR</t>
  </si>
  <si>
    <t>18RIPS</t>
  </si>
  <si>
    <t>18RIPA</t>
  </si>
  <si>
    <t>18RIPB</t>
  </si>
  <si>
    <t>18RIPV</t>
  </si>
  <si>
    <t>18RIVE</t>
  </si>
  <si>
    <t>18RJES</t>
  </si>
  <si>
    <t>18RJIN</t>
  </si>
  <si>
    <t>18RLCA</t>
  </si>
  <si>
    <t>18RLFC</t>
  </si>
  <si>
    <t>18RLNU</t>
  </si>
  <si>
    <t>18RLNA</t>
  </si>
  <si>
    <t>18RLSA</t>
  </si>
  <si>
    <t>18RMRB</t>
  </si>
  <si>
    <t>18RMRA</t>
  </si>
  <si>
    <t>18RMAQ</t>
  </si>
  <si>
    <t>18RMPU</t>
  </si>
  <si>
    <t>18RMTR</t>
  </si>
  <si>
    <t>18RMRI</t>
  </si>
  <si>
    <t>18RMPA</t>
  </si>
  <si>
    <t>18ROFF</t>
  </si>
  <si>
    <t>18RPAP</t>
  </si>
  <si>
    <t>18RPAM</t>
  </si>
  <si>
    <t>18RPCO</t>
  </si>
  <si>
    <t>18RPCA</t>
  </si>
  <si>
    <t>18RPCL</t>
  </si>
  <si>
    <t>18RPCE</t>
  </si>
  <si>
    <t>18RRFL</t>
  </si>
  <si>
    <t>18RRLI</t>
  </si>
  <si>
    <t>18RRSA</t>
  </si>
  <si>
    <t>18RSGR</t>
  </si>
  <si>
    <t>18RSCE</t>
  </si>
  <si>
    <t>18RSMH</t>
  </si>
  <si>
    <t>18RSCM</t>
  </si>
  <si>
    <t>18RSTZ</t>
  </si>
  <si>
    <t>18RSER</t>
  </si>
  <si>
    <t>18RTDE</t>
  </si>
  <si>
    <t>18RTVI</t>
  </si>
  <si>
    <t>18RTAN</t>
  </si>
  <si>
    <t>18RTLV</t>
  </si>
  <si>
    <t>18TMI</t>
  </si>
  <si>
    <t>18RVBE</t>
  </si>
  <si>
    <t>18RZAE</t>
  </si>
  <si>
    <t>18RZPI</t>
  </si>
  <si>
    <t>18PFIS</t>
  </si>
  <si>
    <t>8MPCBA</t>
  </si>
  <si>
    <t>8MPCBB</t>
  </si>
  <si>
    <t>1XANA</t>
  </si>
  <si>
    <t>1XBMO</t>
  </si>
  <si>
    <t>1XHVU</t>
  </si>
  <si>
    <t>1XHPA</t>
  </si>
  <si>
    <t>1XHVA</t>
  </si>
  <si>
    <t>1XHVL</t>
  </si>
  <si>
    <t>1XLBR</t>
  </si>
  <si>
    <t>1XMBR</t>
  </si>
  <si>
    <t>1XMCR</t>
  </si>
  <si>
    <t>1XNPE</t>
  </si>
  <si>
    <t>1XRIN</t>
  </si>
  <si>
    <t>1XRRG</t>
  </si>
  <si>
    <t>1XSCE</t>
  </si>
  <si>
    <t>18XATE</t>
  </si>
  <si>
    <t>18XBCA</t>
  </si>
  <si>
    <t>18XHVU</t>
  </si>
  <si>
    <t>18XHPA</t>
  </si>
  <si>
    <t>18XHSV</t>
  </si>
  <si>
    <t>18XHVL</t>
  </si>
  <si>
    <t>18XLBR</t>
  </si>
  <si>
    <t>18XMCR</t>
  </si>
  <si>
    <t>18XMRU</t>
  </si>
  <si>
    <t>18XNPE</t>
  </si>
  <si>
    <t>18XRIN</t>
  </si>
  <si>
    <t>18XRRG</t>
  </si>
  <si>
    <t>18XSCE</t>
  </si>
  <si>
    <t>1WASW</t>
  </si>
  <si>
    <t>1WASP</t>
  </si>
  <si>
    <t>1WASR</t>
  </si>
  <si>
    <t>1WASY</t>
  </si>
  <si>
    <t>1DADI</t>
  </si>
  <si>
    <t>1W0PAL</t>
  </si>
  <si>
    <t>1W0LLI</t>
  </si>
  <si>
    <t>1W0PRU</t>
  </si>
  <si>
    <t>1W0PHE</t>
  </si>
  <si>
    <t>1W0AUR</t>
  </si>
  <si>
    <t>18WSWH</t>
  </si>
  <si>
    <t>18WSPI</t>
  </si>
  <si>
    <t>18WSRE</t>
  </si>
  <si>
    <t>18WSYE</t>
  </si>
  <si>
    <t>18WSCO</t>
  </si>
  <si>
    <t>18WMWH</t>
  </si>
  <si>
    <t>18WMPI</t>
  </si>
  <si>
    <t>18WMRE</t>
  </si>
  <si>
    <t>18WMYE</t>
  </si>
  <si>
    <t>18WMCO</t>
  </si>
  <si>
    <t>18WLWH</t>
  </si>
  <si>
    <t>18WLPI</t>
  </si>
  <si>
    <t>18WLRE</t>
  </si>
  <si>
    <t>18WLYE</t>
  </si>
  <si>
    <t>18WLCO</t>
  </si>
  <si>
    <t>18DADI</t>
  </si>
  <si>
    <t>18DNLU</t>
  </si>
  <si>
    <t>18WTRI</t>
  </si>
  <si>
    <t>18WTRP</t>
  </si>
  <si>
    <t>0BPCD</t>
  </si>
  <si>
    <t>0BPED</t>
  </si>
  <si>
    <t>0BPHR</t>
  </si>
  <si>
    <t>0BPHM</t>
  </si>
  <si>
    <t>0BPHN</t>
  </si>
  <si>
    <t>0BPLI</t>
  </si>
  <si>
    <t>0BPPF</t>
  </si>
  <si>
    <t>0BPSN</t>
  </si>
  <si>
    <t>0BPTN</t>
  </si>
  <si>
    <t>0BPSA</t>
  </si>
  <si>
    <t>0BPSM</t>
  </si>
  <si>
    <t>Empty floating ring and basket</t>
  </si>
  <si>
    <t>9cm Marginals  (C, D, E, F and G)</t>
  </si>
  <si>
    <t>Customer Name</t>
  </si>
  <si>
    <t>Contact Name</t>
  </si>
  <si>
    <t>Order Number</t>
  </si>
  <si>
    <t>Telephone No.</t>
  </si>
  <si>
    <t>Aquabaskets</t>
  </si>
  <si>
    <t>9 per shelf</t>
  </si>
  <si>
    <t>Planted Floating Islands 18cm</t>
  </si>
  <si>
    <t>18cm Planted Floating Island</t>
  </si>
  <si>
    <t>Total 18cm Marginals</t>
  </si>
  <si>
    <t>rank</t>
  </si>
  <si>
    <t>order</t>
  </si>
  <si>
    <t>Price I</t>
  </si>
  <si>
    <t>Price J</t>
  </si>
  <si>
    <t>Free</t>
  </si>
  <si>
    <t>Price board - A4 laminated</t>
  </si>
  <si>
    <t>Fullness</t>
  </si>
  <si>
    <t>Trolley Deals - 5% discount and free delivery</t>
  </si>
  <si>
    <t>Acorus gramineus Variegatus</t>
  </si>
  <si>
    <t>Trolley Deal 2 - 252x 9cm Marginals, 60x 1L Oxygenators, 21x 18cm Marginals, 12x 8L Planted Contours - £885.00</t>
  </si>
  <si>
    <t>Trolley Deal 3 - 252x 9cm Marginals, 60x 1L Oxygenators, 21x 18cm Marginals, 12x 18cm Waterlilies - £902.00</t>
  </si>
  <si>
    <t>Trolley Deal 4 - 168x 9cm Marginals, 60x 1L Oxygenators, 21x 18cm Marginals, 15x Floating Islands, 12x Planted Contours - £889.00</t>
  </si>
  <si>
    <t>Trolley Deal 1 - 336x 9cm Marginals, 60x 1L Oxygenators, 21x 18cm Marginals - £938.00</t>
  </si>
  <si>
    <t>1L Oxygenators</t>
  </si>
  <si>
    <t>18cm Marg/Oxy</t>
  </si>
  <si>
    <t>1L Aurea</t>
  </si>
  <si>
    <t>1L Pygmaea Helvola</t>
  </si>
  <si>
    <t>1L Pygmaea Rubra</t>
  </si>
  <si>
    <t>1L Laydekera Liliacea</t>
  </si>
  <si>
    <t>6-Pack Fragrant</t>
  </si>
  <si>
    <t>6-pack Native</t>
  </si>
  <si>
    <t>6-Pack Oxy</t>
  </si>
  <si>
    <t>6-Pack</t>
  </si>
  <si>
    <t>Floating Tub</t>
  </si>
  <si>
    <t>Elodea Densa</t>
  </si>
  <si>
    <t>Floating Island</t>
  </si>
  <si>
    <t>Ceratophyllum</t>
  </si>
  <si>
    <t>Contour</t>
  </si>
  <si>
    <t>1L Py Alba</t>
  </si>
  <si>
    <t>1L Aponogeton</t>
  </si>
  <si>
    <t>1L WL Yellow</t>
  </si>
  <si>
    <t>1L WL Red</t>
  </si>
  <si>
    <t>18cm Sm Triple</t>
  </si>
  <si>
    <t>18cm sm Copper</t>
  </si>
  <si>
    <t>18cm Sm White</t>
  </si>
  <si>
    <t>1L WL Pink</t>
  </si>
  <si>
    <t>1L WL White</t>
  </si>
  <si>
    <t>18cm sm Red</t>
  </si>
  <si>
    <t>18cm sm Yellow</t>
  </si>
  <si>
    <t>18cm sm Pink</t>
  </si>
  <si>
    <t>18cm me Yellow</t>
  </si>
  <si>
    <t>18cm me Red</t>
  </si>
  <si>
    <t>18cm me White</t>
  </si>
  <si>
    <t>18cm me Pink</t>
  </si>
  <si>
    <t>18cm me Copper</t>
  </si>
  <si>
    <t>18cm Aponogeton</t>
  </si>
  <si>
    <t>18cm lg Triple</t>
  </si>
  <si>
    <t>18cm lg Copper</t>
  </si>
  <si>
    <t>18cm lg Yellow</t>
  </si>
  <si>
    <t>18cm lg Pink</t>
  </si>
  <si>
    <t>18cm lg Red</t>
  </si>
  <si>
    <t>18cm lg White</t>
  </si>
  <si>
    <t>1L Waterlily</t>
  </si>
  <si>
    <t>18cm Waterlily</t>
  </si>
  <si>
    <t>Other Marginals</t>
  </si>
  <si>
    <t>Floating and Oxy Tubs</t>
  </si>
  <si>
    <t>Stocking positions</t>
  </si>
  <si>
    <t>Week:</t>
  </si>
  <si>
    <t>See bottom of list for trolley deals</t>
  </si>
  <si>
    <t>Aquatics Availability List / Order form - 9th February 2026</t>
  </si>
  <si>
    <t>11cm Waterlilies - Limited growth at the moment</t>
  </si>
  <si>
    <t>variegated sweet flag</t>
  </si>
  <si>
    <t>Acorus gramineus 'Ogon'</t>
  </si>
  <si>
    <t>9RAGV</t>
  </si>
  <si>
    <t>9RRLG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</si>
</sst>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8">
    <numFmt numFmtId="8" formatCode="&quot;£&quot;#,##0.00;[Red]\-&quot;£&quot;#,##0.00"/>
    <numFmt numFmtId="43" formatCode="_-* #,##0.00_-;\-* #,##0.00_-;_-* &quot;-&quot;??_-;_-@_-"/>
    <numFmt numFmtId="164" formatCode="_ &quot;€&quot;\ * #,##0.00_ ;_ &quot;€&quot;\ * \-#,##0.00_ ;_ &quot;€&quot;\ * &quot;-&quot;??_ ;_ @_ "/>
    <numFmt numFmtId="165" formatCode="_-&quot;fl&quot;\ * #,##0.00_-;_-&quot;fl&quot;\ * #,##0.00\-;_-&quot;fl&quot;\ * &quot;-&quot;??_-;_-@_-"/>
    <numFmt numFmtId="166" formatCode="[$£]#,##0.00"/>
    <numFmt numFmtId="167" formatCode="&quot;£&quot;#,##0.00"/>
    <numFmt numFmtId="168" formatCode="&quot; &quot;[$£]#,##0.00&quot; &quot;;&quot;-&quot;[$£]#,##0.00&quot; &quot;;&quot; &quot;[$£]&quot;-&quot;00&quot; &quot;;&quot; &quot;@&quot; &quot;"/>
    <numFmt numFmtId="169" formatCode="0.000"/>
  </numFmts>
  <fonts count="89" x14ac:knownFonts="1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8"/>
      <color rgb="FF000000"/>
      <name val="Calibri"/>
      <family val="2"/>
    </font>
    <font>
      <b/>
      <sz val="22"/>
      <color rgb="FF506C9A"/>
      <name val="Microsoft PhagsPa"/>
      <family val="2"/>
    </font>
    <font>
      <sz val="9"/>
      <color theme="1"/>
      <name val="Arial"/>
      <family val="2"/>
    </font>
    <font>
      <sz val="11"/>
      <color rgb="FF000000"/>
      <name val="Calibri"/>
      <family val="2"/>
    </font>
    <font>
      <sz val="9"/>
      <name val="Arial"/>
      <family val="2"/>
    </font>
    <font>
      <i/>
      <sz val="9"/>
      <color rgb="FF305496"/>
      <name val="Calibri"/>
      <family val="2"/>
    </font>
    <font>
      <sz val="7"/>
      <color rgb="FF000000"/>
      <name val="Calibri"/>
      <family val="2"/>
    </font>
    <font>
      <b/>
      <sz val="11"/>
      <color rgb="FF000000"/>
      <name val="Calibri"/>
      <family val="2"/>
    </font>
    <font>
      <b/>
      <sz val="10"/>
      <name val="Calibri"/>
      <family val="2"/>
    </font>
    <font>
      <i/>
      <sz val="9"/>
      <color theme="4" tint="-0.249977111117893"/>
      <name val="Calibri"/>
      <family val="2"/>
    </font>
    <font>
      <sz val="7"/>
      <color rgb="FF3B3630"/>
      <name val="Calibri"/>
      <family val="2"/>
    </font>
    <font>
      <sz val="8"/>
      <color rgb="FF305496"/>
      <name val="Calibri"/>
      <family val="2"/>
    </font>
    <font>
      <b/>
      <sz val="10"/>
      <color rgb="FF000000"/>
      <name val="Calibri"/>
      <family val="2"/>
    </font>
    <font>
      <sz val="8"/>
      <name val="Aptos Narrow"/>
      <family val="2"/>
      <scheme val="minor"/>
    </font>
    <font>
      <sz val="10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sz val="10"/>
      <color rgb="FF000000"/>
      <name val="Arial"/>
      <family val="2"/>
    </font>
    <font>
      <sz val="11"/>
      <color theme="1"/>
      <name val="Arial"/>
      <family val="2"/>
    </font>
    <font>
      <sz val="10"/>
      <color rgb="FF000000"/>
      <name val="Calibri"/>
      <family val="2"/>
    </font>
    <font>
      <sz val="9"/>
      <color rgb="FF000000"/>
      <name val="Arial"/>
      <family val="2"/>
    </font>
    <font>
      <i/>
      <sz val="9"/>
      <color theme="4"/>
      <name val="Calibri"/>
      <family val="2"/>
    </font>
    <font>
      <sz val="11"/>
      <color theme="4" tint="-0.249977111117893"/>
      <name val="Aptos Narrow"/>
      <family val="2"/>
      <scheme val="minor"/>
    </font>
    <font>
      <sz val="7"/>
      <color theme="4" tint="-0.249977111117893"/>
      <name val="Calibri"/>
      <family val="2"/>
    </font>
    <font>
      <sz val="11"/>
      <name val="Aptos Narrow"/>
      <family val="2"/>
      <scheme val="minor"/>
    </font>
    <font>
      <sz val="10"/>
      <name val="Calibri"/>
      <family val="2"/>
    </font>
    <font>
      <sz val="7"/>
      <name val="Calibri"/>
      <family val="2"/>
    </font>
    <font>
      <i/>
      <sz val="9"/>
      <color theme="8" tint="-0.499984740745262"/>
      <name val="Calibri"/>
      <family val="2"/>
    </font>
    <font>
      <sz val="7"/>
      <color rgb="FF333333"/>
      <name val="Calibri"/>
      <family val="2"/>
    </font>
    <font>
      <sz val="7"/>
      <color rgb="FF4A4A4A"/>
      <name val="Calibri"/>
      <family val="2"/>
    </font>
    <font>
      <b/>
      <sz val="11"/>
      <color theme="1"/>
      <name val="Aptos Narrow"/>
      <family val="2"/>
      <scheme val="minor"/>
    </font>
    <font>
      <sz val="8"/>
      <color theme="1"/>
      <name val="Aptos Narrow"/>
      <family val="2"/>
      <scheme val="minor"/>
    </font>
    <font>
      <sz val="8"/>
      <color rgb="FF3B3630"/>
      <name val="Calibri"/>
      <family val="2"/>
    </font>
    <font>
      <sz val="8"/>
      <name val="Calibri"/>
      <family val="2"/>
    </font>
    <font>
      <b/>
      <sz val="11"/>
      <color theme="4" tint="-0.249977111117893"/>
      <name val="Aptos Narrow"/>
      <family val="2"/>
      <scheme val="minor"/>
    </font>
    <font>
      <b/>
      <sz val="10"/>
      <color theme="1"/>
      <name val="Calibri"/>
      <family val="2"/>
    </font>
    <font>
      <sz val="22"/>
      <name val="Aptos Narrow"/>
      <family val="2"/>
      <scheme val="minor"/>
    </font>
    <font>
      <b/>
      <sz val="8"/>
      <color theme="1"/>
      <name val="Aptos Narrow"/>
      <family val="2"/>
      <scheme val="minor"/>
    </font>
    <font>
      <sz val="9"/>
      <color theme="1"/>
      <name val="Aptos Narrow"/>
      <family val="2"/>
      <scheme val="minor"/>
    </font>
    <font>
      <b/>
      <sz val="8"/>
      <color rgb="FFFF0000"/>
      <name val="Calibri"/>
      <family val="2"/>
    </font>
    <font>
      <sz val="10"/>
      <color theme="1"/>
      <name val="Arial"/>
      <family val="2"/>
    </font>
    <font>
      <sz val="11"/>
      <color theme="1"/>
      <name val="Calibri"/>
      <family val="2"/>
    </font>
    <font>
      <sz val="10"/>
      <color theme="1"/>
      <name val="Calibri"/>
      <family val="2"/>
    </font>
    <font>
      <i/>
      <sz val="8"/>
      <color rgb="FF305496"/>
      <name val="Calibri"/>
      <family val="2"/>
    </font>
    <font>
      <sz val="10"/>
      <color theme="1"/>
      <name val="Aptos Narrow"/>
      <family val="2"/>
      <scheme val="minor"/>
    </font>
    <font>
      <sz val="10"/>
      <color theme="4" tint="-0.249977111117893"/>
      <name val="Aptos Narrow"/>
      <family val="2"/>
      <scheme val="minor"/>
    </font>
    <font>
      <sz val="8"/>
      <color theme="1"/>
      <name val="Calibri"/>
      <family val="2"/>
    </font>
    <font>
      <i/>
      <sz val="10"/>
      <color rgb="FF305496"/>
      <name val="Calibri"/>
      <family val="2"/>
    </font>
    <font>
      <sz val="22"/>
      <color theme="1"/>
      <name val="Aptos Narrow"/>
      <family val="2"/>
      <scheme val="minor"/>
    </font>
    <font>
      <sz val="9"/>
      <name val="Aptos Narrow"/>
      <family val="2"/>
      <scheme val="minor"/>
    </font>
    <font>
      <i/>
      <sz val="9"/>
      <name val="Aptos Narrow"/>
      <family val="2"/>
      <scheme val="minor"/>
    </font>
    <font>
      <sz val="7"/>
      <color theme="1"/>
      <name val="Calibri"/>
      <family val="2"/>
    </font>
    <font>
      <b/>
      <sz val="22"/>
      <color rgb="FF506C9A"/>
      <name val="Aptos Narrow"/>
      <family val="2"/>
      <scheme val="minor"/>
    </font>
    <font>
      <i/>
      <sz val="10"/>
      <color rgb="FF305496"/>
      <name val="Aptos Narrow"/>
      <family val="2"/>
      <scheme val="minor"/>
    </font>
    <font>
      <sz val="10"/>
      <color rgb="FF305496"/>
      <name val="Aptos Narrow"/>
      <family val="2"/>
      <scheme val="minor"/>
    </font>
    <font>
      <i/>
      <sz val="10"/>
      <color theme="4" tint="-0.249977111117893"/>
      <name val="Aptos Narrow"/>
      <family val="2"/>
      <scheme val="minor"/>
    </font>
    <font>
      <i/>
      <sz val="9"/>
      <color rgb="FF305496"/>
      <name val="Aptos Narrow"/>
      <family val="2"/>
      <scheme val="minor"/>
    </font>
    <font>
      <i/>
      <sz val="9"/>
      <color theme="4"/>
      <name val="Aptos Narrow"/>
      <family val="2"/>
      <scheme val="minor"/>
    </font>
    <font>
      <sz val="7"/>
      <color rgb="FF000000"/>
      <name val="Aptos Narrow"/>
      <family val="2"/>
      <scheme val="minor"/>
    </font>
    <font>
      <i/>
      <sz val="9"/>
      <color theme="4" tint="-0.249977111117893"/>
      <name val="Aptos Narrow"/>
      <family val="2"/>
      <scheme val="minor"/>
    </font>
    <font>
      <b/>
      <sz val="18"/>
      <name val="Aptos Narrow"/>
      <family val="2"/>
      <scheme val="minor"/>
    </font>
    <font>
      <b/>
      <sz val="10"/>
      <color theme="1"/>
      <name val="Aptos Narrow"/>
      <family val="2"/>
      <scheme val="minor"/>
    </font>
    <font>
      <b/>
      <sz val="9"/>
      <color theme="1"/>
      <name val="Aptos Narrow"/>
      <family val="2"/>
      <scheme val="minor"/>
    </font>
    <font>
      <sz val="11"/>
      <color theme="0"/>
      <name val="Aptos Narrow"/>
      <family val="2"/>
      <scheme val="minor"/>
    </font>
    <font>
      <b/>
      <sz val="11"/>
      <name val="Aptos Narrow"/>
      <family val="2"/>
      <scheme val="minor"/>
    </font>
    <font>
      <b/>
      <sz val="11"/>
      <name val="Gulim"/>
      <family val="2"/>
    </font>
    <font>
      <b/>
      <sz val="12"/>
      <name val="Gulim"/>
      <family val="2"/>
    </font>
    <font>
      <sz val="9"/>
      <name val="Gulim"/>
      <family val="2"/>
    </font>
    <font>
      <sz val="11"/>
      <color theme="0"/>
      <name val="Gulim"/>
      <family val="2"/>
    </font>
    <font>
      <sz val="11"/>
      <color rgb="FF000000"/>
      <name val="Gulim"/>
      <family val="2"/>
      <charset val="129"/>
    </font>
    <font>
      <sz val="11"/>
      <name val="Gulim"/>
      <family val="2"/>
    </font>
    <font>
      <sz val="11"/>
      <color rgb="FFFF0000"/>
      <name val="Gulim"/>
      <family val="2"/>
    </font>
    <font>
      <b/>
      <sz val="11"/>
      <color theme="0"/>
      <name val="Gulim"/>
      <family val="2"/>
    </font>
    <font>
      <b/>
      <sz val="11"/>
      <color rgb="FF000000"/>
      <name val="Gulim"/>
      <family val="2"/>
    </font>
    <font>
      <sz val="11"/>
      <name val="Gulim"/>
      <family val="2"/>
      <charset val="129"/>
    </font>
    <font>
      <sz val="11"/>
      <color theme="1"/>
      <name val="Gulim"/>
      <family val="2"/>
    </font>
    <font>
      <b/>
      <sz val="14"/>
      <color rgb="FF000000"/>
      <name val="Calibri"/>
      <family val="2"/>
    </font>
    <font>
      <b/>
      <sz val="12"/>
      <color rgb="FF000000"/>
      <name val="Calibri"/>
      <family val="2"/>
    </font>
    <font>
      <sz val="16"/>
      <color theme="1"/>
      <name val="Aptos Narrow"/>
      <family val="2"/>
      <scheme val="minor"/>
    </font>
    <font>
      <sz val="28"/>
      <color theme="1"/>
      <name val="Aptos Narrow"/>
      <family val="2"/>
      <scheme val="minor"/>
    </font>
    <font>
      <sz val="18"/>
      <color theme="1"/>
      <name val="Aptos Narrow"/>
      <family val="2"/>
      <scheme val="minor"/>
    </font>
    <font>
      <sz val="8"/>
      <color theme="0"/>
      <name val="Aptos Narrow"/>
      <family val="2"/>
      <scheme val="minor"/>
    </font>
    <font>
      <sz val="8"/>
      <color theme="0"/>
      <name val="Calibri"/>
      <family val="2"/>
    </font>
    <font>
      <sz val="8"/>
      <color theme="0"/>
      <name val="Arial"/>
      <family val="2"/>
    </font>
    <font>
      <b/>
      <sz val="11"/>
      <color theme="0"/>
      <name val="Calibri"/>
      <family val="2"/>
    </font>
    <font>
      <sz val="22"/>
      <color theme="0"/>
      <name val="Aptos Narrow"/>
      <family val="2"/>
      <scheme val="minor"/>
    </font>
    <font>
      <sz val="11"/>
      <color rgb="FFFF0000"/>
      <name val="Aptos Narrow"/>
      <family val="2"/>
      <scheme val="minor"/>
    </font>
  </fonts>
  <fills count="1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rgb="FF00B050"/>
        <bgColor indexed="64"/>
      </patternFill>
    </fill>
    <fill>
      <patternFill patternType="solid">
        <fgColor rgb="FFFF0000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0" tint="-0.249977111117893"/>
        <bgColor indexed="64"/>
      </patternFill>
    </fill>
    <fill>
      <patternFill patternType="solid">
        <fgColor theme="8" tint="0.39997558519241921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0" tint="-0.34998626667073579"/>
        <bgColor indexed="64"/>
      </patternFill>
    </fill>
    <fill>
      <patternFill patternType="solid">
        <fgColor theme="3" tint="0.89999084444715716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/>
      <bottom style="thin">
        <color rgb="FF000000"/>
      </bottom>
      <diagonal/>
    </border>
    <border>
      <left style="thin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thin">
        <color auto="1"/>
      </top>
      <bottom style="hair">
        <color auto="1"/>
      </bottom>
      <diagonal/>
    </border>
    <border>
      <left style="hair">
        <color auto="1"/>
      </left>
      <right/>
      <top style="thin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thin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 style="hair">
        <color auto="1"/>
      </right>
      <top style="hair">
        <color auto="1"/>
      </top>
      <bottom/>
      <diagonal/>
    </border>
    <border>
      <left style="hair">
        <color auto="1"/>
      </left>
      <right/>
      <top style="hair">
        <color auto="1"/>
      </top>
      <bottom/>
      <diagonal/>
    </border>
    <border>
      <left style="hair">
        <color auto="1"/>
      </left>
      <right style="thin">
        <color auto="1"/>
      </right>
      <top style="hair">
        <color auto="1"/>
      </top>
      <bottom/>
      <diagonal/>
    </border>
    <border>
      <left style="thin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hair">
        <color auto="1"/>
      </bottom>
      <diagonal/>
    </border>
    <border>
      <left style="thin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 style="thin">
        <color auto="1"/>
      </right>
      <top style="hair">
        <color auto="1"/>
      </top>
      <bottom style="thin">
        <color auto="1"/>
      </bottom>
      <diagonal/>
    </border>
    <border>
      <left/>
      <right style="hair">
        <color auto="1"/>
      </right>
      <top style="thin">
        <color auto="1"/>
      </top>
      <bottom style="hair">
        <color auto="1"/>
      </bottom>
      <diagonal/>
    </border>
    <border>
      <left style="dotted">
        <color auto="1"/>
      </left>
      <right/>
      <top style="thin">
        <color auto="1"/>
      </top>
      <bottom style="hair">
        <color auto="1"/>
      </bottom>
      <diagonal/>
    </border>
    <border>
      <left/>
      <right style="thin">
        <color auto="1"/>
      </right>
      <top style="thin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hair">
        <color auto="1"/>
      </bottom>
      <diagonal/>
    </border>
    <border>
      <left style="hair">
        <color auto="1"/>
      </left>
      <right/>
      <top style="hair">
        <color auto="1"/>
      </top>
      <bottom style="hair">
        <color auto="1"/>
      </bottom>
      <diagonal/>
    </border>
    <border>
      <left style="dotted">
        <color auto="1"/>
      </left>
      <right/>
      <top style="hair">
        <color auto="1"/>
      </top>
      <bottom style="hair">
        <color auto="1"/>
      </bottom>
      <diagonal/>
    </border>
    <border>
      <left/>
      <right style="thin">
        <color auto="1"/>
      </right>
      <top style="hair">
        <color auto="1"/>
      </top>
      <bottom style="hair">
        <color auto="1"/>
      </bottom>
      <diagonal/>
    </border>
    <border>
      <left/>
      <right style="hair">
        <color auto="1"/>
      </right>
      <top style="hair">
        <color auto="1"/>
      </top>
      <bottom style="thin">
        <color auto="1"/>
      </bottom>
      <diagonal/>
    </border>
    <border>
      <left style="hair">
        <color auto="1"/>
      </left>
      <right/>
      <top style="hair">
        <color auto="1"/>
      </top>
      <bottom style="thin">
        <color auto="1"/>
      </bottom>
      <diagonal/>
    </border>
    <border>
      <left style="dotted">
        <color auto="1"/>
      </left>
      <right/>
      <top style="hair">
        <color auto="1"/>
      </top>
      <bottom style="thin">
        <color auto="1"/>
      </bottom>
      <diagonal/>
    </border>
    <border>
      <left/>
      <right style="thin">
        <color auto="1"/>
      </right>
      <top style="hair">
        <color auto="1"/>
      </top>
      <bottom style="thin">
        <color auto="1"/>
      </bottom>
      <diagonal/>
    </border>
    <border>
      <left style="thin">
        <color auto="1"/>
      </left>
      <right/>
      <top/>
      <bottom/>
      <diagonal/>
    </border>
  </borders>
  <cellStyleXfs count="19">
    <xf numFmtId="0" fontId="0" fillId="0" borderId="0"/>
    <xf numFmtId="0" fontId="5" fillId="0" borderId="0"/>
    <xf numFmtId="43" fontId="1" fillId="0" borderId="0" applyFont="0" applyFill="0" applyBorder="0" applyAlignment="0" applyProtection="0"/>
    <xf numFmtId="0" fontId="16" fillId="0" borderId="0"/>
    <xf numFmtId="0" fontId="16" fillId="0" borderId="0"/>
    <xf numFmtId="0" fontId="16" fillId="0" borderId="0"/>
    <xf numFmtId="164" fontId="1" fillId="0" borderId="0" applyFont="0" applyFill="0" applyBorder="0" applyAlignment="0" applyProtection="0"/>
    <xf numFmtId="0" fontId="16" fillId="0" borderId="0"/>
    <xf numFmtId="165" fontId="16" fillId="0" borderId="0" applyFont="0" applyFill="0" applyBorder="0" applyAlignment="0" applyProtection="0"/>
    <xf numFmtId="0" fontId="1" fillId="0" borderId="0"/>
    <xf numFmtId="0" fontId="18" fillId="0" borderId="0" applyNumberFormat="0" applyFill="0" applyBorder="0" applyProtection="0">
      <alignment horizontal="right"/>
    </xf>
    <xf numFmtId="0" fontId="16" fillId="0" borderId="0"/>
    <xf numFmtId="0" fontId="16" fillId="0" borderId="0"/>
    <xf numFmtId="0" fontId="17" fillId="0" borderId="0"/>
    <xf numFmtId="0" fontId="16" fillId="0" borderId="0"/>
    <xf numFmtId="0" fontId="16" fillId="0" borderId="0"/>
    <xf numFmtId="0" fontId="16" fillId="0" borderId="0"/>
    <xf numFmtId="0" fontId="16" fillId="0" borderId="0"/>
    <xf numFmtId="164" fontId="16" fillId="0" borderId="0" applyFont="0" applyFill="0" applyBorder="0" applyAlignment="0" applyProtection="0"/>
  </cellStyleXfs>
  <cellXfs count="400">
    <xf numFmtId="0" fontId="0" fillId="0" borderId="0" xfId="0"/>
    <xf numFmtId="0" fontId="3" fillId="0" borderId="0" xfId="0" applyFont="1" applyAlignment="1">
      <alignment horizontal="left" vertical="center"/>
    </xf>
    <xf numFmtId="0" fontId="4" fillId="0" borderId="0" xfId="0" applyFont="1" applyAlignment="1">
      <alignment vertical="center"/>
    </xf>
    <xf numFmtId="0" fontId="8" fillId="0" borderId="0" xfId="0" applyFont="1" applyAlignment="1">
      <alignment horizontal="center" vertical="center"/>
    </xf>
    <xf numFmtId="0" fontId="20" fillId="0" borderId="0" xfId="0" applyFont="1"/>
    <xf numFmtId="0" fontId="9" fillId="0" borderId="1" xfId="0" applyFont="1" applyBorder="1" applyAlignment="1">
      <alignment horizontal="center" vertical="center"/>
    </xf>
    <xf numFmtId="0" fontId="8" fillId="0" borderId="0" xfId="0" applyFont="1" applyAlignment="1">
      <alignment horizontal="left" vertical="center"/>
    </xf>
    <xf numFmtId="0" fontId="9" fillId="0" borderId="0" xfId="0" applyFont="1" applyAlignment="1">
      <alignment horizontal="center" vertical="center"/>
    </xf>
    <xf numFmtId="0" fontId="24" fillId="0" borderId="0" xfId="0" applyFont="1" applyAlignment="1">
      <alignment vertical="center"/>
    </xf>
    <xf numFmtId="0" fontId="25" fillId="0" borderId="0" xfId="0" applyFont="1" applyAlignment="1">
      <alignment vertical="center"/>
    </xf>
    <xf numFmtId="0" fontId="25" fillId="0" borderId="1" xfId="0" applyFont="1" applyBorder="1" applyAlignment="1">
      <alignment vertical="center"/>
    </xf>
    <xf numFmtId="0" fontId="10" fillId="0" borderId="0" xfId="0" applyFont="1" applyAlignment="1">
      <alignment vertical="center"/>
    </xf>
    <xf numFmtId="0" fontId="28" fillId="0" borderId="1" xfId="0" applyFont="1" applyBorder="1" applyAlignment="1">
      <alignment horizontal="left" vertical="center"/>
    </xf>
    <xf numFmtId="0" fontId="8" fillId="3" borderId="1" xfId="0" applyFont="1" applyFill="1" applyBorder="1" applyAlignment="1">
      <alignment horizontal="center" vertical="center"/>
    </xf>
    <xf numFmtId="0" fontId="0" fillId="0" borderId="1" xfId="0" applyBorder="1"/>
    <xf numFmtId="0" fontId="8" fillId="0" borderId="1" xfId="0" applyFont="1" applyBorder="1" applyAlignment="1">
      <alignment horizontal="left" vertical="center"/>
    </xf>
    <xf numFmtId="0" fontId="30" fillId="0" borderId="1" xfId="0" applyFont="1" applyBorder="1"/>
    <xf numFmtId="0" fontId="31" fillId="0" borderId="1" xfId="0" applyFont="1" applyBorder="1"/>
    <xf numFmtId="0" fontId="8" fillId="2" borderId="1" xfId="0" applyFont="1" applyFill="1" applyBorder="1" applyAlignment="1">
      <alignment horizontal="center" vertical="center"/>
    </xf>
    <xf numFmtId="0" fontId="8" fillId="4" borderId="1" xfId="0" applyFont="1" applyFill="1" applyBorder="1" applyAlignment="1">
      <alignment horizontal="center" vertical="center"/>
    </xf>
    <xf numFmtId="0" fontId="12" fillId="0" borderId="1" xfId="0" applyFont="1" applyBorder="1"/>
    <xf numFmtId="0" fontId="0" fillId="0" borderId="0" xfId="0" applyAlignment="1">
      <alignment horizontal="right"/>
    </xf>
    <xf numFmtId="0" fontId="2" fillId="0" borderId="1" xfId="0" applyFont="1" applyBorder="1" applyAlignment="1">
      <alignment horizontal="left" vertical="center"/>
    </xf>
    <xf numFmtId="0" fontId="10" fillId="0" borderId="1" xfId="0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0" fontId="0" fillId="0" borderId="0" xfId="0" applyAlignment="1">
      <alignment horizontal="center"/>
    </xf>
    <xf numFmtId="0" fontId="14" fillId="0" borderId="0" xfId="0" applyFont="1" applyAlignment="1">
      <alignment vertical="center"/>
    </xf>
    <xf numFmtId="0" fontId="0" fillId="0" borderId="4" xfId="0" applyBorder="1"/>
    <xf numFmtId="0" fontId="6" fillId="0" borderId="0" xfId="0" applyFont="1" applyAlignment="1">
      <alignment vertical="center"/>
    </xf>
    <xf numFmtId="0" fontId="14" fillId="0" borderId="4" xfId="0" applyFont="1" applyBorder="1" applyAlignment="1">
      <alignment vertical="center"/>
    </xf>
    <xf numFmtId="0" fontId="22" fillId="0" borderId="0" xfId="0" applyFont="1" applyAlignment="1">
      <alignment vertical="center"/>
    </xf>
    <xf numFmtId="0" fontId="27" fillId="0" borderId="0" xfId="0" applyFont="1" applyAlignment="1">
      <alignment vertical="center"/>
    </xf>
    <xf numFmtId="0" fontId="11" fillId="0" borderId="0" xfId="0" applyFont="1" applyAlignment="1">
      <alignment horizontal="right" vertical="center"/>
    </xf>
    <xf numFmtId="0" fontId="28" fillId="0" borderId="0" xfId="0" applyFont="1" applyAlignment="1">
      <alignment horizontal="left" vertical="center"/>
    </xf>
    <xf numFmtId="0" fontId="24" fillId="0" borderId="0" xfId="0" applyFont="1" applyAlignment="1">
      <alignment horizontal="center" vertical="center"/>
    </xf>
    <xf numFmtId="0" fontId="7" fillId="0" borderId="0" xfId="0" applyFont="1" applyAlignment="1">
      <alignment horizontal="left" vertical="center"/>
    </xf>
    <xf numFmtId="0" fontId="0" fillId="0" borderId="0" xfId="0" applyAlignment="1">
      <alignment horizontal="left"/>
    </xf>
    <xf numFmtId="0" fontId="12" fillId="0" borderId="1" xfId="0" applyFont="1" applyBorder="1" applyAlignment="1">
      <alignment horizontal="left"/>
    </xf>
    <xf numFmtId="0" fontId="11" fillId="0" borderId="0" xfId="0" applyFont="1" applyAlignment="1">
      <alignment horizontal="left" vertical="center"/>
    </xf>
    <xf numFmtId="0" fontId="0" fillId="6" borderId="1" xfId="0" applyFill="1" applyBorder="1"/>
    <xf numFmtId="0" fontId="32" fillId="0" borderId="1" xfId="0" applyFont="1" applyBorder="1" applyAlignment="1">
      <alignment horizontal="center"/>
    </xf>
    <xf numFmtId="0" fontId="0" fillId="6" borderId="6" xfId="0" applyFill="1" applyBorder="1"/>
    <xf numFmtId="0" fontId="32" fillId="0" borderId="6" xfId="0" applyFont="1" applyBorder="1" applyAlignment="1">
      <alignment horizontal="center"/>
    </xf>
    <xf numFmtId="0" fontId="0" fillId="0" borderId="7" xfId="0" applyBorder="1"/>
    <xf numFmtId="0" fontId="0" fillId="0" borderId="8" xfId="0" applyBorder="1"/>
    <xf numFmtId="0" fontId="4" fillId="0" borderId="8" xfId="0" applyFont="1" applyBorder="1" applyAlignment="1">
      <alignment vertical="center"/>
    </xf>
    <xf numFmtId="0" fontId="4" fillId="0" borderId="8" xfId="0" applyFont="1" applyBorder="1" applyAlignment="1">
      <alignment horizontal="left" vertical="center"/>
    </xf>
    <xf numFmtId="0" fontId="4" fillId="0" borderId="8" xfId="1" applyFont="1" applyBorder="1" applyAlignment="1">
      <alignment vertical="center"/>
    </xf>
    <xf numFmtId="0" fontId="0" fillId="0" borderId="8" xfId="0" applyBorder="1" applyAlignment="1">
      <alignment horizontal="right"/>
    </xf>
    <xf numFmtId="0" fontId="33" fillId="0" borderId="6" xfId="0" applyFont="1" applyBorder="1"/>
    <xf numFmtId="0" fontId="33" fillId="0" borderId="1" xfId="0" applyFont="1" applyBorder="1"/>
    <xf numFmtId="0" fontId="34" fillId="0" borderId="1" xfId="0" applyFont="1" applyBorder="1"/>
    <xf numFmtId="49" fontId="35" fillId="0" borderId="1" xfId="0" applyNumberFormat="1" applyFont="1" applyBorder="1" applyAlignment="1">
      <alignment horizontal="left" vertical="center"/>
    </xf>
    <xf numFmtId="0" fontId="0" fillId="0" borderId="9" xfId="0" applyBorder="1"/>
    <xf numFmtId="0" fontId="6" fillId="0" borderId="8" xfId="0" applyFont="1" applyBorder="1" applyAlignment="1">
      <alignment vertical="center"/>
    </xf>
    <xf numFmtId="0" fontId="22" fillId="0" borderId="8" xfId="0" applyFont="1" applyBorder="1" applyAlignment="1">
      <alignment vertical="center"/>
    </xf>
    <xf numFmtId="49" fontId="16" fillId="0" borderId="8" xfId="0" applyNumberFormat="1" applyFont="1" applyBorder="1" applyAlignment="1">
      <alignment horizontal="left" vertical="center"/>
    </xf>
    <xf numFmtId="0" fontId="24" fillId="0" borderId="8" xfId="0" applyFont="1" applyBorder="1" applyAlignment="1">
      <alignment vertical="center"/>
    </xf>
    <xf numFmtId="0" fontId="6" fillId="0" borderId="11" xfId="0" applyFont="1" applyBorder="1" applyAlignment="1">
      <alignment vertical="center"/>
    </xf>
    <xf numFmtId="0" fontId="32" fillId="0" borderId="9" xfId="0" applyFont="1" applyBorder="1" applyAlignment="1">
      <alignment horizontal="center" vertical="center"/>
    </xf>
    <xf numFmtId="0" fontId="32" fillId="0" borderId="0" xfId="0" applyFont="1" applyAlignment="1">
      <alignment horizontal="center" vertical="center"/>
    </xf>
    <xf numFmtId="0" fontId="36" fillId="0" borderId="9" xfId="0" applyFont="1" applyBorder="1" applyAlignment="1">
      <alignment horizontal="center" vertical="center"/>
    </xf>
    <xf numFmtId="0" fontId="36" fillId="0" borderId="0" xfId="0" applyFont="1" applyAlignment="1">
      <alignment horizontal="center" vertical="center"/>
    </xf>
    <xf numFmtId="0" fontId="37" fillId="4" borderId="1" xfId="0" applyFont="1" applyFill="1" applyBorder="1" applyAlignment="1">
      <alignment horizontal="center" vertical="center"/>
    </xf>
    <xf numFmtId="0" fontId="37" fillId="7" borderId="1" xfId="0" applyFont="1" applyFill="1" applyBorder="1" applyAlignment="1">
      <alignment horizontal="center" vertical="center"/>
    </xf>
    <xf numFmtId="0" fontId="37" fillId="2" borderId="1" xfId="0" applyFont="1" applyFill="1" applyBorder="1" applyAlignment="1">
      <alignment horizontal="center" vertical="center"/>
    </xf>
    <xf numFmtId="0" fontId="37" fillId="8" borderId="1" xfId="0" applyFont="1" applyFill="1" applyBorder="1" applyAlignment="1">
      <alignment horizontal="center" vertical="center"/>
    </xf>
    <xf numFmtId="0" fontId="38" fillId="0" borderId="0" xfId="0" applyFont="1" applyAlignment="1">
      <alignment horizontal="left" vertical="center"/>
    </xf>
    <xf numFmtId="0" fontId="38" fillId="0" borderId="12" xfId="0" applyFont="1" applyBorder="1" applyAlignment="1">
      <alignment horizontal="left" vertical="center"/>
    </xf>
    <xf numFmtId="0" fontId="7" fillId="0" borderId="0" xfId="0" applyFont="1" applyAlignment="1">
      <alignment horizontal="right" vertical="center"/>
    </xf>
    <xf numFmtId="0" fontId="23" fillId="0" borderId="0" xfId="0" applyFont="1" applyAlignment="1">
      <alignment horizontal="right" vertical="center"/>
    </xf>
    <xf numFmtId="0" fontId="32" fillId="0" borderId="4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32" fillId="0" borderId="10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2" fillId="0" borderId="7" xfId="0" applyFont="1" applyBorder="1" applyAlignment="1">
      <alignment horizontal="left" vertical="center"/>
    </xf>
    <xf numFmtId="0" fontId="0" fillId="0" borderId="12" xfId="0" applyBorder="1"/>
    <xf numFmtId="0" fontId="0" fillId="0" borderId="14" xfId="0" applyBorder="1"/>
    <xf numFmtId="0" fontId="4" fillId="0" borderId="9" xfId="0" applyFont="1" applyBorder="1" applyAlignment="1">
      <alignment vertical="center"/>
    </xf>
    <xf numFmtId="0" fontId="4" fillId="0" borderId="14" xfId="0" applyFont="1" applyBorder="1" applyAlignment="1">
      <alignment vertical="center"/>
    </xf>
    <xf numFmtId="0" fontId="7" fillId="0" borderId="8" xfId="0" applyFont="1" applyBorder="1" applyAlignment="1">
      <alignment horizontal="right" vertical="center"/>
    </xf>
    <xf numFmtId="0" fontId="4" fillId="0" borderId="9" xfId="0" applyFont="1" applyBorder="1" applyAlignment="1">
      <alignment horizontal="left" vertical="center"/>
    </xf>
    <xf numFmtId="0" fontId="4" fillId="0" borderId="14" xfId="0" applyFont="1" applyBorder="1" applyAlignment="1">
      <alignment horizontal="left" vertical="center"/>
    </xf>
    <xf numFmtId="0" fontId="4" fillId="0" borderId="9" xfId="1" applyFont="1" applyBorder="1" applyAlignment="1">
      <alignment vertical="center"/>
    </xf>
    <xf numFmtId="0" fontId="4" fillId="0" borderId="14" xfId="1" applyFont="1" applyBorder="1" applyAlignment="1">
      <alignment vertical="center"/>
    </xf>
    <xf numFmtId="0" fontId="4" fillId="0" borderId="14" xfId="1" applyFont="1" applyBorder="1" applyAlignment="1">
      <alignment horizontal="left" vertical="center"/>
    </xf>
    <xf numFmtId="0" fontId="11" fillId="0" borderId="8" xfId="0" applyFont="1" applyBorder="1" applyAlignment="1">
      <alignment horizontal="right" vertical="center"/>
    </xf>
    <xf numFmtId="0" fontId="13" fillId="0" borderId="8" xfId="0" applyFont="1" applyBorder="1" applyAlignment="1">
      <alignment horizontal="right" vertical="center"/>
    </xf>
    <xf numFmtId="0" fontId="22" fillId="0" borderId="9" xfId="0" applyFont="1" applyBorder="1" applyAlignment="1">
      <alignment vertical="center"/>
    </xf>
    <xf numFmtId="0" fontId="6" fillId="0" borderId="9" xfId="0" applyFont="1" applyBorder="1" applyAlignment="1">
      <alignment vertical="center"/>
    </xf>
    <xf numFmtId="0" fontId="27" fillId="0" borderId="9" xfId="0" applyFont="1" applyBorder="1" applyAlignment="1">
      <alignment vertical="center"/>
    </xf>
    <xf numFmtId="0" fontId="27" fillId="0" borderId="14" xfId="0" applyFont="1" applyBorder="1" applyAlignment="1">
      <alignment vertical="center"/>
    </xf>
    <xf numFmtId="0" fontId="29" fillId="0" borderId="8" xfId="0" applyFont="1" applyBorder="1" applyAlignment="1">
      <alignment horizontal="right" vertical="center"/>
    </xf>
    <xf numFmtId="0" fontId="6" fillId="0" borderId="14" xfId="0" applyFont="1" applyBorder="1" applyAlignment="1">
      <alignment vertical="center"/>
    </xf>
    <xf numFmtId="0" fontId="22" fillId="0" borderId="14" xfId="0" applyFont="1" applyBorder="1" applyAlignment="1">
      <alignment vertical="center"/>
    </xf>
    <xf numFmtId="49" fontId="16" fillId="0" borderId="9" xfId="0" applyNumberFormat="1" applyFont="1" applyBorder="1" applyAlignment="1">
      <alignment horizontal="left" vertical="center"/>
    </xf>
    <xf numFmtId="0" fontId="19" fillId="0" borderId="9" xfId="0" applyFont="1" applyBorder="1" applyAlignment="1">
      <alignment vertical="center"/>
    </xf>
    <xf numFmtId="0" fontId="14" fillId="0" borderId="14" xfId="0" applyFont="1" applyBorder="1" applyAlignment="1">
      <alignment vertical="center"/>
    </xf>
    <xf numFmtId="0" fontId="23" fillId="0" borderId="8" xfId="0" applyFont="1" applyBorder="1" applyAlignment="1">
      <alignment horizontal="right" vertical="center"/>
    </xf>
    <xf numFmtId="0" fontId="10" fillId="0" borderId="14" xfId="0" applyFont="1" applyBorder="1" applyAlignment="1">
      <alignment vertical="center"/>
    </xf>
    <xf numFmtId="0" fontId="0" fillId="0" borderId="13" xfId="0" applyBorder="1"/>
    <xf numFmtId="0" fontId="32" fillId="0" borderId="4" xfId="0" applyFont="1" applyBorder="1" applyAlignment="1">
      <alignment horizontal="center"/>
    </xf>
    <xf numFmtId="0" fontId="32" fillId="0" borderId="12" xfId="0" applyFont="1" applyBorder="1" applyAlignment="1">
      <alignment horizontal="center"/>
    </xf>
    <xf numFmtId="0" fontId="39" fillId="0" borderId="5" xfId="0" applyFont="1" applyBorder="1" applyAlignment="1">
      <alignment horizontal="center"/>
    </xf>
    <xf numFmtId="0" fontId="39" fillId="0" borderId="6" xfId="0" applyFont="1" applyBorder="1" applyAlignment="1">
      <alignment horizontal="center"/>
    </xf>
    <xf numFmtId="0" fontId="2" fillId="0" borderId="2" xfId="0" applyFont="1" applyBorder="1" applyAlignment="1">
      <alignment horizontal="left" vertical="center"/>
    </xf>
    <xf numFmtId="0" fontId="0" fillId="0" borderId="7" xfId="0" applyBorder="1" applyAlignment="1">
      <alignment horizontal="right"/>
    </xf>
    <xf numFmtId="166" fontId="21" fillId="0" borderId="1" xfId="0" quotePrefix="1" applyNumberFormat="1" applyFont="1" applyBorder="1" applyAlignment="1">
      <alignment horizontal="left" vertical="center"/>
    </xf>
    <xf numFmtId="0" fontId="41" fillId="0" borderId="1" xfId="0" applyFont="1" applyBorder="1" applyAlignment="1">
      <alignment horizontal="left" vertical="center"/>
    </xf>
    <xf numFmtId="0" fontId="38" fillId="0" borderId="0" xfId="0" applyFont="1" applyAlignment="1">
      <alignment vertical="center"/>
    </xf>
    <xf numFmtId="0" fontId="38" fillId="0" borderId="12" xfId="0" applyFont="1" applyBorder="1" applyAlignment="1">
      <alignment vertical="center"/>
    </xf>
    <xf numFmtId="0" fontId="16" fillId="0" borderId="9" xfId="0" applyFont="1" applyBorder="1" applyAlignment="1">
      <alignment vertical="center"/>
    </xf>
    <xf numFmtId="0" fontId="42" fillId="0" borderId="9" xfId="0" applyFont="1" applyBorder="1"/>
    <xf numFmtId="0" fontId="19" fillId="0" borderId="1" xfId="0" applyFont="1" applyBorder="1" applyAlignment="1">
      <alignment vertical="center"/>
    </xf>
    <xf numFmtId="167" fontId="21" fillId="0" borderId="1" xfId="0" applyNumberFormat="1" applyFont="1" applyBorder="1" applyAlignment="1">
      <alignment horizontal="left" vertical="center"/>
    </xf>
    <xf numFmtId="167" fontId="43" fillId="0" borderId="1" xfId="0" applyNumberFormat="1" applyFont="1" applyBorder="1" applyAlignment="1">
      <alignment horizontal="left"/>
    </xf>
    <xf numFmtId="167" fontId="44" fillId="0" borderId="1" xfId="0" applyNumberFormat="1" applyFont="1" applyBorder="1" applyAlignment="1">
      <alignment horizontal="left"/>
    </xf>
    <xf numFmtId="0" fontId="6" fillId="0" borderId="1" xfId="0" applyFont="1" applyBorder="1" applyAlignment="1">
      <alignment vertical="center"/>
    </xf>
    <xf numFmtId="0" fontId="4" fillId="0" borderId="12" xfId="0" applyFont="1" applyBorder="1" applyAlignment="1">
      <alignment vertical="center"/>
    </xf>
    <xf numFmtId="0" fontId="9" fillId="0" borderId="6" xfId="0" applyFont="1" applyBorder="1" applyAlignment="1">
      <alignment horizontal="center" vertical="center"/>
    </xf>
    <xf numFmtId="0" fontId="4" fillId="0" borderId="10" xfId="0" applyFont="1" applyBorder="1" applyAlignment="1">
      <alignment horizontal="left" vertical="center"/>
    </xf>
    <xf numFmtId="0" fontId="11" fillId="0" borderId="7" xfId="0" applyFont="1" applyBorder="1" applyAlignment="1">
      <alignment horizontal="right" vertical="center"/>
    </xf>
    <xf numFmtId="0" fontId="8" fillId="0" borderId="6" xfId="0" applyFont="1" applyBorder="1" applyAlignment="1">
      <alignment horizontal="left" vertical="center"/>
    </xf>
    <xf numFmtId="0" fontId="7" fillId="0" borderId="7" xfId="0" applyFont="1" applyBorder="1" applyAlignment="1">
      <alignment horizontal="right" vertical="center"/>
    </xf>
    <xf numFmtId="0" fontId="45" fillId="0" borderId="8" xfId="0" applyFont="1" applyBorder="1" applyAlignment="1">
      <alignment horizontal="right" vertical="center"/>
    </xf>
    <xf numFmtId="0" fontId="46" fillId="0" borderId="8" xfId="0" applyFont="1" applyBorder="1"/>
    <xf numFmtId="0" fontId="46" fillId="0" borderId="8" xfId="0" applyFont="1" applyBorder="1" applyAlignment="1">
      <alignment horizontal="right"/>
    </xf>
    <xf numFmtId="0" fontId="47" fillId="0" borderId="8" xfId="0" applyFont="1" applyBorder="1" applyAlignment="1">
      <alignment horizontal="right" vertical="center"/>
    </xf>
    <xf numFmtId="0" fontId="8" fillId="0" borderId="4" xfId="0" applyFont="1" applyBorder="1" applyAlignment="1">
      <alignment horizontal="center" vertical="center"/>
    </xf>
    <xf numFmtId="0" fontId="37" fillId="0" borderId="1" xfId="0" applyFont="1" applyBorder="1" applyAlignment="1">
      <alignment horizontal="center" vertical="center"/>
    </xf>
    <xf numFmtId="0" fontId="32" fillId="0" borderId="5" xfId="0" applyFont="1" applyBorder="1" applyAlignment="1">
      <alignment horizontal="left" vertical="center"/>
    </xf>
    <xf numFmtId="0" fontId="32" fillId="0" borderId="6" xfId="0" applyFont="1" applyBorder="1" applyAlignment="1">
      <alignment horizontal="left" vertical="center"/>
    </xf>
    <xf numFmtId="0" fontId="4" fillId="0" borderId="10" xfId="0" applyFont="1" applyBorder="1" applyAlignment="1">
      <alignment vertical="center"/>
    </xf>
    <xf numFmtId="0" fontId="2" fillId="0" borderId="6" xfId="0" applyFont="1" applyBorder="1" applyAlignment="1">
      <alignment horizontal="left" vertical="center"/>
    </xf>
    <xf numFmtId="0" fontId="16" fillId="0" borderId="10" xfId="3" applyBorder="1"/>
    <xf numFmtId="0" fontId="2" fillId="0" borderId="3" xfId="0" applyFont="1" applyBorder="1" applyAlignment="1">
      <alignment horizontal="left" vertical="center"/>
    </xf>
    <xf numFmtId="0" fontId="48" fillId="0" borderId="12" xfId="0" applyFont="1" applyBorder="1"/>
    <xf numFmtId="0" fontId="7" fillId="0" borderId="15" xfId="0" applyFont="1" applyBorder="1" applyAlignment="1">
      <alignment horizontal="right" vertical="center"/>
    </xf>
    <xf numFmtId="0" fontId="48" fillId="0" borderId="0" xfId="0" applyFont="1"/>
    <xf numFmtId="0" fontId="39" fillId="0" borderId="13" xfId="0" applyFont="1" applyBorder="1" applyAlignment="1">
      <alignment horizontal="center"/>
    </xf>
    <xf numFmtId="0" fontId="39" fillId="0" borderId="7" xfId="0" applyFont="1" applyBorder="1" applyAlignment="1">
      <alignment horizontal="center"/>
    </xf>
    <xf numFmtId="0" fontId="8" fillId="0" borderId="3" xfId="0" applyFont="1" applyBorder="1" applyAlignment="1">
      <alignment horizontal="left" vertical="center"/>
    </xf>
    <xf numFmtId="0" fontId="6" fillId="0" borderId="0" xfId="3" applyFont="1" applyAlignment="1">
      <alignment horizontal="left" vertical="center"/>
    </xf>
    <xf numFmtId="0" fontId="16" fillId="0" borderId="0" xfId="3" applyAlignment="1">
      <alignment horizontal="left"/>
    </xf>
    <xf numFmtId="0" fontId="49" fillId="0" borderId="0" xfId="0" applyFont="1" applyAlignment="1">
      <alignment horizontal="center" vertical="center"/>
    </xf>
    <xf numFmtId="0" fontId="2" fillId="0" borderId="0" xfId="0" applyFont="1" applyAlignment="1">
      <alignment horizontal="left" vertical="center"/>
    </xf>
    <xf numFmtId="0" fontId="4" fillId="0" borderId="10" xfId="0" applyFont="1" applyBorder="1"/>
    <xf numFmtId="0" fontId="4" fillId="0" borderId="12" xfId="0" applyFont="1" applyBorder="1"/>
    <xf numFmtId="0" fontId="4" fillId="0" borderId="9" xfId="0" applyFont="1" applyBorder="1"/>
    <xf numFmtId="0" fontId="4" fillId="0" borderId="14" xfId="0" applyFont="1" applyBorder="1"/>
    <xf numFmtId="0" fontId="6" fillId="5" borderId="10" xfId="3" applyFont="1" applyFill="1" applyBorder="1" applyAlignment="1">
      <alignment horizontal="left"/>
    </xf>
    <xf numFmtId="0" fontId="6" fillId="0" borderId="0" xfId="3" applyFont="1" applyAlignment="1">
      <alignment horizontal="left"/>
    </xf>
    <xf numFmtId="0" fontId="4" fillId="0" borderId="0" xfId="0" applyFont="1"/>
    <xf numFmtId="0" fontId="6" fillId="0" borderId="9" xfId="3" applyFont="1" applyBorder="1" applyAlignment="1">
      <alignment horizontal="left"/>
    </xf>
    <xf numFmtId="0" fontId="6" fillId="0" borderId="10" xfId="3" applyFont="1" applyBorder="1" applyAlignment="1">
      <alignment horizontal="left"/>
    </xf>
    <xf numFmtId="0" fontId="6" fillId="0" borderId="0" xfId="3" applyFont="1"/>
    <xf numFmtId="0" fontId="6" fillId="0" borderId="10" xfId="3" applyFont="1" applyBorder="1"/>
    <xf numFmtId="0" fontId="6" fillId="5" borderId="10" xfId="3" applyFont="1" applyFill="1" applyBorder="1"/>
    <xf numFmtId="0" fontId="6" fillId="0" borderId="12" xfId="3" applyFont="1" applyBorder="1" applyAlignment="1">
      <alignment horizontal="left"/>
    </xf>
    <xf numFmtId="0" fontId="6" fillId="0" borderId="14" xfId="3" applyFont="1" applyBorder="1" applyAlignment="1">
      <alignment vertical="center"/>
    </xf>
    <xf numFmtId="0" fontId="6" fillId="0" borderId="0" xfId="3" applyFont="1" applyAlignment="1">
      <alignment vertical="center"/>
    </xf>
    <xf numFmtId="0" fontId="6" fillId="0" borderId="9" xfId="3" applyFont="1" applyBorder="1" applyAlignment="1">
      <alignment vertical="center"/>
    </xf>
    <xf numFmtId="0" fontId="6" fillId="0" borderId="10" xfId="0" applyFont="1" applyBorder="1" applyAlignment="1">
      <alignment vertical="center"/>
    </xf>
    <xf numFmtId="0" fontId="26" fillId="0" borderId="12" xfId="0" applyFont="1" applyBorder="1" applyAlignment="1">
      <alignment vertical="center"/>
    </xf>
    <xf numFmtId="0" fontId="40" fillId="0" borderId="7" xfId="0" applyFont="1" applyBorder="1" applyAlignment="1">
      <alignment horizontal="right"/>
    </xf>
    <xf numFmtId="0" fontId="40" fillId="0" borderId="8" xfId="0" applyFont="1" applyBorder="1" applyAlignment="1">
      <alignment horizontal="right"/>
    </xf>
    <xf numFmtId="0" fontId="51" fillId="0" borderId="8" xfId="0" applyFont="1" applyBorder="1" applyAlignment="1">
      <alignment horizontal="right"/>
    </xf>
    <xf numFmtId="0" fontId="52" fillId="0" borderId="8" xfId="0" applyFont="1" applyBorder="1" applyAlignment="1">
      <alignment horizontal="right" vertical="center"/>
    </xf>
    <xf numFmtId="0" fontId="47" fillId="0" borderId="0" xfId="0" applyFont="1" applyAlignment="1">
      <alignment horizontal="right" vertical="center"/>
    </xf>
    <xf numFmtId="0" fontId="6" fillId="0" borderId="14" xfId="0" applyFont="1" applyBorder="1" applyAlignment="1">
      <alignment horizontal="left" vertical="center"/>
    </xf>
    <xf numFmtId="0" fontId="25" fillId="0" borderId="6" xfId="0" applyFont="1" applyBorder="1" applyAlignment="1">
      <alignment vertical="center"/>
    </xf>
    <xf numFmtId="0" fontId="53" fillId="0" borderId="6" xfId="0" applyFont="1" applyBorder="1" applyAlignment="1">
      <alignment horizontal="left" vertical="center"/>
    </xf>
    <xf numFmtId="0" fontId="37" fillId="0" borderId="0" xfId="0" applyFont="1" applyAlignment="1">
      <alignment horizontal="center" vertical="center"/>
    </xf>
    <xf numFmtId="0" fontId="6" fillId="0" borderId="9" xfId="3" applyFont="1" applyBorder="1"/>
    <xf numFmtId="0" fontId="32" fillId="0" borderId="6" xfId="0" applyFont="1" applyBorder="1" applyAlignment="1">
      <alignment horizontal="center" vertical="center"/>
    </xf>
    <xf numFmtId="0" fontId="0" fillId="0" borderId="13" xfId="0" applyBorder="1" applyAlignment="1">
      <alignment horizontal="right"/>
    </xf>
    <xf numFmtId="1" fontId="16" fillId="0" borderId="1" xfId="3" applyNumberFormat="1" applyBorder="1" applyAlignment="1">
      <alignment horizontal="left"/>
    </xf>
    <xf numFmtId="1" fontId="42" fillId="0" borderId="1" xfId="0" applyNumberFormat="1" applyFont="1" applyBorder="1" applyAlignment="1">
      <alignment horizontal="left"/>
    </xf>
    <xf numFmtId="1" fontId="42" fillId="0" borderId="1" xfId="0" applyNumberFormat="1" applyFont="1" applyBorder="1" applyAlignment="1">
      <alignment horizontal="left" wrapText="1"/>
    </xf>
    <xf numFmtId="0" fontId="54" fillId="0" borderId="0" xfId="0" applyFont="1" applyAlignment="1">
      <alignment horizontal="left" vertical="center"/>
    </xf>
    <xf numFmtId="0" fontId="55" fillId="0" borderId="8" xfId="0" applyFont="1" applyBorder="1" applyAlignment="1">
      <alignment horizontal="center" vertical="center"/>
    </xf>
    <xf numFmtId="0" fontId="55" fillId="0" borderId="15" xfId="0" applyFont="1" applyBorder="1" applyAlignment="1">
      <alignment horizontal="center" vertical="center"/>
    </xf>
    <xf numFmtId="0" fontId="55" fillId="0" borderId="7" xfId="0" applyFont="1" applyBorder="1" applyAlignment="1">
      <alignment horizontal="center" vertical="center"/>
    </xf>
    <xf numFmtId="0" fontId="56" fillId="0" borderId="8" xfId="0" applyFont="1" applyBorder="1" applyAlignment="1">
      <alignment horizontal="center" vertical="center"/>
    </xf>
    <xf numFmtId="0" fontId="55" fillId="0" borderId="1" xfId="0" applyFont="1" applyBorder="1" applyAlignment="1">
      <alignment horizontal="center" vertical="center"/>
    </xf>
    <xf numFmtId="0" fontId="55" fillId="0" borderId="0" xfId="0" applyFont="1" applyAlignment="1">
      <alignment horizontal="center" vertical="center"/>
    </xf>
    <xf numFmtId="0" fontId="57" fillId="0" borderId="7" xfId="0" applyFont="1" applyBorder="1" applyAlignment="1">
      <alignment horizontal="center" vertical="center"/>
    </xf>
    <xf numFmtId="0" fontId="57" fillId="0" borderId="8" xfId="0" applyFont="1" applyBorder="1" applyAlignment="1">
      <alignment horizontal="center" vertical="center"/>
    </xf>
    <xf numFmtId="0" fontId="57" fillId="0" borderId="1" xfId="0" applyFont="1" applyBorder="1" applyAlignment="1">
      <alignment horizontal="center" vertical="center"/>
    </xf>
    <xf numFmtId="0" fontId="58" fillId="0" borderId="0" xfId="0" applyFont="1" applyAlignment="1">
      <alignment horizontal="right" vertical="center"/>
    </xf>
    <xf numFmtId="0" fontId="59" fillId="0" borderId="0" xfId="0" applyFont="1" applyAlignment="1">
      <alignment horizontal="right" vertical="center"/>
    </xf>
    <xf numFmtId="0" fontId="59" fillId="0" borderId="1" xfId="0" applyFont="1" applyBorder="1" applyAlignment="1">
      <alignment horizontal="right" vertical="center"/>
    </xf>
    <xf numFmtId="0" fontId="58" fillId="0" borderId="0" xfId="0" applyFont="1" applyAlignment="1">
      <alignment horizontal="left" vertical="center"/>
    </xf>
    <xf numFmtId="0" fontId="60" fillId="0" borderId="0" xfId="0" applyFont="1" applyAlignment="1">
      <alignment horizontal="left" vertical="center"/>
    </xf>
    <xf numFmtId="0" fontId="61" fillId="0" borderId="0" xfId="0" applyFont="1" applyAlignment="1">
      <alignment horizontal="left" vertical="center"/>
    </xf>
    <xf numFmtId="0" fontId="61" fillId="0" borderId="8" xfId="0" applyFont="1" applyBorder="1" applyAlignment="1">
      <alignment horizontal="center" vertical="center"/>
    </xf>
    <xf numFmtId="0" fontId="4" fillId="0" borderId="4" xfId="0" applyFont="1" applyBorder="1" applyAlignment="1">
      <alignment vertical="center"/>
    </xf>
    <xf numFmtId="0" fontId="9" fillId="0" borderId="0" xfId="0" applyFont="1" applyAlignment="1">
      <alignment vertical="center"/>
    </xf>
    <xf numFmtId="0" fontId="59" fillId="0" borderId="1" xfId="0" applyFont="1" applyBorder="1" applyAlignment="1">
      <alignment horizontal="center" vertical="center"/>
    </xf>
    <xf numFmtId="0" fontId="53" fillId="0" borderId="1" xfId="0" applyFont="1" applyBorder="1"/>
    <xf numFmtId="0" fontId="0" fillId="0" borderId="1" xfId="0" applyBorder="1" applyAlignment="1">
      <alignment horizontal="center"/>
    </xf>
    <xf numFmtId="0" fontId="32" fillId="0" borderId="13" xfId="0" applyFont="1" applyBorder="1" applyAlignment="1">
      <alignment horizontal="center"/>
    </xf>
    <xf numFmtId="0" fontId="32" fillId="0" borderId="7" xfId="0" applyFont="1" applyBorder="1" applyAlignment="1">
      <alignment horizontal="center"/>
    </xf>
    <xf numFmtId="0" fontId="64" fillId="0" borderId="5" xfId="0" applyFont="1" applyBorder="1" applyAlignment="1">
      <alignment horizontal="center"/>
    </xf>
    <xf numFmtId="0" fontId="64" fillId="0" borderId="6" xfId="0" applyFont="1" applyBorder="1" applyAlignment="1">
      <alignment horizontal="center"/>
    </xf>
    <xf numFmtId="0" fontId="39" fillId="0" borderId="6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32" fillId="0" borderId="5" xfId="0" applyFont="1" applyBorder="1" applyAlignment="1">
      <alignment horizontal="center" vertical="center"/>
    </xf>
    <xf numFmtId="0" fontId="6" fillId="0" borderId="14" xfId="0" applyFont="1" applyBorder="1" applyAlignment="1">
      <alignment horizontal="left" vertical="center" wrapText="1"/>
    </xf>
    <xf numFmtId="0" fontId="50" fillId="0" borderId="0" xfId="0" applyFont="1" applyAlignment="1">
      <alignment horizontal="left"/>
    </xf>
    <xf numFmtId="0" fontId="23" fillId="0" borderId="6" xfId="0" applyFont="1" applyBorder="1" applyAlignment="1">
      <alignment horizontal="right" vertical="center"/>
    </xf>
    <xf numFmtId="0" fontId="23" fillId="0" borderId="1" xfId="0" applyFont="1" applyBorder="1" applyAlignment="1">
      <alignment horizontal="right" vertical="center"/>
    </xf>
    <xf numFmtId="1" fontId="16" fillId="0" borderId="0" xfId="3" applyNumberFormat="1" applyAlignment="1">
      <alignment horizontal="left"/>
    </xf>
    <xf numFmtId="0" fontId="32" fillId="0" borderId="1" xfId="0" applyFont="1" applyBorder="1" applyAlignment="1">
      <alignment horizontal="center" vertical="center"/>
    </xf>
    <xf numFmtId="0" fontId="24" fillId="0" borderId="1" xfId="0" applyFont="1" applyBorder="1" applyAlignment="1">
      <alignment horizontal="center" vertical="center"/>
    </xf>
    <xf numFmtId="0" fontId="66" fillId="0" borderId="1" xfId="0" applyFont="1" applyBorder="1"/>
    <xf numFmtId="0" fontId="26" fillId="0" borderId="1" xfId="0" applyFont="1" applyBorder="1"/>
    <xf numFmtId="0" fontId="26" fillId="0" borderId="0" xfId="0" applyFont="1"/>
    <xf numFmtId="0" fontId="65" fillId="0" borderId="0" xfId="0" applyFont="1"/>
    <xf numFmtId="0" fontId="0" fillId="9" borderId="0" xfId="0" applyFill="1"/>
    <xf numFmtId="0" fontId="32" fillId="0" borderId="0" xfId="0" applyFont="1" applyAlignment="1">
      <alignment horizontal="left" vertical="center"/>
    </xf>
    <xf numFmtId="0" fontId="32" fillId="0" borderId="0" xfId="0" applyFont="1" applyAlignment="1">
      <alignment horizontal="center"/>
    </xf>
    <xf numFmtId="0" fontId="64" fillId="0" borderId="0" xfId="0" applyFont="1" applyAlignment="1">
      <alignment horizontal="center"/>
    </xf>
    <xf numFmtId="0" fontId="63" fillId="0" borderId="0" xfId="0" applyFont="1" applyAlignment="1">
      <alignment horizontal="center" vertical="center"/>
    </xf>
    <xf numFmtId="0" fontId="6" fillId="0" borderId="14" xfId="3" applyFont="1" applyBorder="1" applyAlignment="1">
      <alignment horizontal="left"/>
    </xf>
    <xf numFmtId="0" fontId="6" fillId="5" borderId="9" xfId="3" applyFont="1" applyFill="1" applyBorder="1" applyAlignment="1">
      <alignment horizontal="left"/>
    </xf>
    <xf numFmtId="0" fontId="6" fillId="0" borderId="9" xfId="0" applyFont="1" applyBorder="1" applyAlignment="1">
      <alignment horizontal="left" vertical="center"/>
    </xf>
    <xf numFmtId="0" fontId="67" fillId="0" borderId="0" xfId="0" applyFont="1"/>
    <xf numFmtId="0" fontId="68" fillId="0" borderId="0" xfId="0" applyFont="1" applyAlignment="1">
      <alignment horizontal="center" vertical="center"/>
    </xf>
    <xf numFmtId="0" fontId="70" fillId="0" borderId="0" xfId="0" applyFont="1"/>
    <xf numFmtId="0" fontId="71" fillId="0" borderId="0" xfId="0" applyFont="1"/>
    <xf numFmtId="0" fontId="72" fillId="0" borderId="0" xfId="0" applyFont="1" applyAlignment="1">
      <alignment horizontal="left"/>
    </xf>
    <xf numFmtId="0" fontId="72" fillId="0" borderId="0" xfId="0" applyFont="1" applyAlignment="1">
      <alignment horizontal="center" vertical="center"/>
    </xf>
    <xf numFmtId="0" fontId="72" fillId="0" borderId="0" xfId="0" applyFont="1"/>
    <xf numFmtId="0" fontId="67" fillId="0" borderId="0" xfId="0" applyFont="1" applyAlignment="1">
      <alignment horizontal="right"/>
    </xf>
    <xf numFmtId="0" fontId="73" fillId="0" borderId="0" xfId="0" applyFont="1"/>
    <xf numFmtId="0" fontId="67" fillId="0" borderId="16" xfId="0" applyFont="1" applyBorder="1"/>
    <xf numFmtId="0" fontId="67" fillId="0" borderId="16" xfId="0" applyFont="1" applyBorder="1" applyAlignment="1">
      <alignment horizontal="center"/>
    </xf>
    <xf numFmtId="0" fontId="74" fillId="0" borderId="0" xfId="0" applyFont="1"/>
    <xf numFmtId="0" fontId="75" fillId="0" borderId="0" xfId="0" applyFont="1"/>
    <xf numFmtId="0" fontId="67" fillId="0" borderId="17" xfId="0" applyFont="1" applyBorder="1"/>
    <xf numFmtId="0" fontId="72" fillId="0" borderId="18" xfId="0" applyFont="1" applyBorder="1"/>
    <xf numFmtId="0" fontId="67" fillId="0" borderId="2" xfId="0" applyFont="1" applyBorder="1"/>
    <xf numFmtId="0" fontId="72" fillId="0" borderId="19" xfId="0" applyFont="1" applyBorder="1" applyAlignment="1">
      <alignment horizontal="right"/>
    </xf>
    <xf numFmtId="2" fontId="70" fillId="0" borderId="0" xfId="0" applyNumberFormat="1" applyFont="1"/>
    <xf numFmtId="0" fontId="72" fillId="0" borderId="16" xfId="0" applyFont="1" applyBorder="1"/>
    <xf numFmtId="0" fontId="76" fillId="0" borderId="0" xfId="0" applyFont="1"/>
    <xf numFmtId="0" fontId="72" fillId="0" borderId="20" xfId="0" applyFont="1" applyBorder="1" applyAlignment="1">
      <alignment horizontal="right"/>
    </xf>
    <xf numFmtId="0" fontId="77" fillId="0" borderId="0" xfId="0" applyFont="1"/>
    <xf numFmtId="168" fontId="77" fillId="0" borderId="0" xfId="0" applyNumberFormat="1" applyFont="1"/>
    <xf numFmtId="169" fontId="77" fillId="0" borderId="0" xfId="0" applyNumberFormat="1" applyFont="1"/>
    <xf numFmtId="0" fontId="72" fillId="0" borderId="21" xfId="0" applyFont="1" applyBorder="1" applyAlignment="1">
      <alignment horizontal="center"/>
    </xf>
    <xf numFmtId="0" fontId="72" fillId="0" borderId="2" xfId="0" applyFont="1" applyBorder="1" applyAlignment="1">
      <alignment horizontal="center"/>
    </xf>
    <xf numFmtId="0" fontId="72" fillId="0" borderId="0" xfId="0" applyFont="1" applyAlignment="1">
      <alignment horizontal="center"/>
    </xf>
    <xf numFmtId="0" fontId="71" fillId="0" borderId="0" xfId="0" applyFont="1" applyAlignment="1">
      <alignment horizontal="center"/>
    </xf>
    <xf numFmtId="0" fontId="16" fillId="0" borderId="0" xfId="3"/>
    <xf numFmtId="0" fontId="4" fillId="0" borderId="0" xfId="0" applyFont="1" applyAlignment="1">
      <alignment horizontal="left" vertical="center"/>
    </xf>
    <xf numFmtId="0" fontId="52" fillId="0" borderId="0" xfId="0" applyFont="1" applyAlignment="1">
      <alignment horizontal="right" vertical="center"/>
    </xf>
    <xf numFmtId="0" fontId="39" fillId="0" borderId="7" xfId="0" applyFont="1" applyBorder="1" applyAlignment="1">
      <alignment horizontal="left" vertical="center"/>
    </xf>
    <xf numFmtId="0" fontId="0" fillId="2" borderId="0" xfId="0" applyFill="1"/>
    <xf numFmtId="169" fontId="0" fillId="0" borderId="0" xfId="0" applyNumberFormat="1"/>
    <xf numFmtId="2" fontId="0" fillId="0" borderId="0" xfId="0" applyNumberFormat="1"/>
    <xf numFmtId="0" fontId="0" fillId="6" borderId="0" xfId="0" applyFill="1"/>
    <xf numFmtId="0" fontId="0" fillId="10" borderId="0" xfId="0" applyFill="1"/>
    <xf numFmtId="2" fontId="0" fillId="0" borderId="0" xfId="0" applyNumberFormat="1" applyAlignment="1">
      <alignment horizontal="left"/>
    </xf>
    <xf numFmtId="0" fontId="0" fillId="0" borderId="0" xfId="0" quotePrefix="1"/>
    <xf numFmtId="0" fontId="5" fillId="0" borderId="0" xfId="1"/>
    <xf numFmtId="0" fontId="79" fillId="0" borderId="22" xfId="1" applyFont="1" applyBorder="1" applyAlignment="1">
      <alignment horizontal="center" vertical="center"/>
    </xf>
    <xf numFmtId="0" fontId="9" fillId="0" borderId="23" xfId="1" applyFont="1" applyBorder="1" applyAlignment="1">
      <alignment horizontal="center"/>
    </xf>
    <xf numFmtId="0" fontId="9" fillId="0" borderId="24" xfId="1" applyFont="1" applyBorder="1" applyAlignment="1">
      <alignment horizontal="center"/>
    </xf>
    <xf numFmtId="0" fontId="9" fillId="0" borderId="25" xfId="1" applyFont="1" applyBorder="1" applyAlignment="1">
      <alignment horizontal="center"/>
    </xf>
    <xf numFmtId="0" fontId="14" fillId="0" borderId="26" xfId="1" applyFont="1" applyBorder="1" applyAlignment="1">
      <alignment horizontal="right"/>
    </xf>
    <xf numFmtId="0" fontId="9" fillId="0" borderId="27" xfId="1" applyFont="1" applyBorder="1" applyAlignment="1">
      <alignment horizontal="center"/>
    </xf>
    <xf numFmtId="0" fontId="9" fillId="0" borderId="28" xfId="1" applyFont="1" applyBorder="1" applyAlignment="1">
      <alignment horizontal="center"/>
    </xf>
    <xf numFmtId="0" fontId="9" fillId="0" borderId="29" xfId="1" applyFont="1" applyBorder="1" applyAlignment="1">
      <alignment horizontal="center"/>
    </xf>
    <xf numFmtId="0" fontId="9" fillId="0" borderId="0" xfId="1" applyFont="1" applyAlignment="1">
      <alignment horizontal="right"/>
    </xf>
    <xf numFmtId="0" fontId="9" fillId="0" borderId="22" xfId="1" applyFont="1" applyBorder="1"/>
    <xf numFmtId="0" fontId="5" fillId="0" borderId="23" xfId="1" applyBorder="1" applyAlignment="1">
      <alignment horizontal="center"/>
    </xf>
    <xf numFmtId="0" fontId="5" fillId="0" borderId="25" xfId="1" applyBorder="1" applyAlignment="1">
      <alignment horizontal="center"/>
    </xf>
    <xf numFmtId="0" fontId="9" fillId="0" borderId="30" xfId="1" applyFont="1" applyBorder="1"/>
    <xf numFmtId="0" fontId="5" fillId="0" borderId="31" xfId="1" applyBorder="1" applyAlignment="1">
      <alignment horizontal="center"/>
    </xf>
    <xf numFmtId="0" fontId="5" fillId="0" borderId="32" xfId="1" applyBorder="1" applyAlignment="1">
      <alignment horizontal="center"/>
    </xf>
    <xf numFmtId="0" fontId="5" fillId="0" borderId="0" xfId="1" applyAlignment="1">
      <alignment horizontal="left"/>
    </xf>
    <xf numFmtId="0" fontId="9" fillId="0" borderId="33" xfId="1" applyFont="1" applyBorder="1"/>
    <xf numFmtId="0" fontId="5" fillId="0" borderId="34" xfId="1" applyBorder="1" applyAlignment="1">
      <alignment horizontal="center"/>
    </xf>
    <xf numFmtId="0" fontId="5" fillId="0" borderId="35" xfId="1" applyBorder="1" applyAlignment="1">
      <alignment horizontal="center"/>
    </xf>
    <xf numFmtId="0" fontId="9" fillId="10" borderId="22" xfId="1" applyFont="1" applyFill="1" applyBorder="1"/>
    <xf numFmtId="0" fontId="9" fillId="10" borderId="36" xfId="1" applyFont="1" applyFill="1" applyBorder="1"/>
    <xf numFmtId="0" fontId="9" fillId="10" borderId="23" xfId="1" applyFont="1" applyFill="1" applyBorder="1"/>
    <xf numFmtId="0" fontId="9" fillId="10" borderId="24" xfId="1" applyFont="1" applyFill="1" applyBorder="1"/>
    <xf numFmtId="0" fontId="5" fillId="0" borderId="30" xfId="1" applyBorder="1"/>
    <xf numFmtId="0" fontId="5" fillId="0" borderId="39" xfId="1" applyBorder="1" applyAlignment="1">
      <alignment horizontal="center"/>
    </xf>
    <xf numFmtId="0" fontId="5" fillId="0" borderId="31" xfId="1" applyBorder="1"/>
    <xf numFmtId="0" fontId="9" fillId="0" borderId="40" xfId="1" applyFont="1" applyBorder="1" applyAlignment="1">
      <alignment horizontal="center"/>
    </xf>
    <xf numFmtId="0" fontId="5" fillId="0" borderId="39" xfId="1" applyBorder="1"/>
    <xf numFmtId="0" fontId="5" fillId="0" borderId="40" xfId="1" applyBorder="1" applyAlignment="1">
      <alignment horizontal="center"/>
    </xf>
    <xf numFmtId="0" fontId="5" fillId="0" borderId="41" xfId="1" applyBorder="1"/>
    <xf numFmtId="0" fontId="5" fillId="0" borderId="42" xfId="1" applyBorder="1"/>
    <xf numFmtId="0" fontId="5" fillId="9" borderId="30" xfId="1" applyFill="1" applyBorder="1"/>
    <xf numFmtId="0" fontId="5" fillId="9" borderId="39" xfId="1" applyFill="1" applyBorder="1" applyAlignment="1">
      <alignment horizontal="center"/>
    </xf>
    <xf numFmtId="0" fontId="5" fillId="9" borderId="31" xfId="1" applyFill="1" applyBorder="1"/>
    <xf numFmtId="0" fontId="9" fillId="9" borderId="40" xfId="1" applyFont="1" applyFill="1" applyBorder="1" applyAlignment="1">
      <alignment horizontal="center"/>
    </xf>
    <xf numFmtId="0" fontId="5" fillId="9" borderId="39" xfId="1" applyFill="1" applyBorder="1"/>
    <xf numFmtId="0" fontId="5" fillId="9" borderId="31" xfId="1" applyFill="1" applyBorder="1" applyAlignment="1">
      <alignment horizontal="center"/>
    </xf>
    <xf numFmtId="0" fontId="5" fillId="9" borderId="40" xfId="1" applyFill="1" applyBorder="1" applyAlignment="1">
      <alignment horizontal="center"/>
    </xf>
    <xf numFmtId="0" fontId="5" fillId="9" borderId="41" xfId="1" applyFill="1" applyBorder="1"/>
    <xf numFmtId="0" fontId="5" fillId="9" borderId="42" xfId="1" applyFill="1" applyBorder="1"/>
    <xf numFmtId="0" fontId="5" fillId="0" borderId="33" xfId="1" applyBorder="1"/>
    <xf numFmtId="0" fontId="5" fillId="0" borderId="43" xfId="1" applyBorder="1" applyAlignment="1">
      <alignment horizontal="center"/>
    </xf>
    <xf numFmtId="0" fontId="5" fillId="0" borderId="34" xfId="1" applyBorder="1"/>
    <xf numFmtId="0" fontId="9" fillId="0" borderId="44" xfId="1" applyFont="1" applyBorder="1" applyAlignment="1">
      <alignment horizontal="center"/>
    </xf>
    <xf numFmtId="0" fontId="5" fillId="0" borderId="43" xfId="1" applyBorder="1"/>
    <xf numFmtId="0" fontId="5" fillId="0" borderId="44" xfId="1" applyBorder="1" applyAlignment="1">
      <alignment horizontal="center"/>
    </xf>
    <xf numFmtId="0" fontId="5" fillId="0" borderId="45" xfId="1" applyBorder="1"/>
    <xf numFmtId="0" fontId="5" fillId="0" borderId="46" xfId="1" applyBorder="1"/>
    <xf numFmtId="0" fontId="5" fillId="11" borderId="0" xfId="1" applyFill="1"/>
    <xf numFmtId="1" fontId="0" fillId="0" borderId="0" xfId="0" applyNumberFormat="1"/>
    <xf numFmtId="0" fontId="5" fillId="0" borderId="47" xfId="1" applyBorder="1"/>
    <xf numFmtId="0" fontId="9" fillId="0" borderId="0" xfId="1" applyFont="1" applyAlignment="1">
      <alignment horizontal="center"/>
    </xf>
    <xf numFmtId="0" fontId="5" fillId="0" borderId="0" xfId="1" applyAlignment="1">
      <alignment horizontal="center"/>
    </xf>
    <xf numFmtId="1" fontId="5" fillId="0" borderId="31" xfId="1" applyNumberFormat="1" applyBorder="1" applyAlignment="1">
      <alignment horizontal="center"/>
    </xf>
    <xf numFmtId="1" fontId="5" fillId="0" borderId="32" xfId="1" applyNumberFormat="1" applyBorder="1" applyAlignment="1">
      <alignment horizontal="center"/>
    </xf>
    <xf numFmtId="0" fontId="14" fillId="0" borderId="0" xfId="1" applyFont="1"/>
    <xf numFmtId="0" fontId="33" fillId="0" borderId="0" xfId="0" applyFont="1"/>
    <xf numFmtId="0" fontId="0" fillId="3" borderId="0" xfId="0" applyFill="1"/>
    <xf numFmtId="0" fontId="0" fillId="0" borderId="12" xfId="0" applyBorder="1" applyAlignment="1">
      <alignment horizontal="right"/>
    </xf>
    <xf numFmtId="0" fontId="0" fillId="0" borderId="15" xfId="0" applyBorder="1"/>
    <xf numFmtId="167" fontId="44" fillId="0" borderId="8" xfId="0" applyNumberFormat="1" applyFont="1" applyBorder="1" applyAlignment="1">
      <alignment horizontal="left"/>
    </xf>
    <xf numFmtId="0" fontId="19" fillId="0" borderId="10" xfId="0" applyFont="1" applyBorder="1" applyAlignment="1">
      <alignment vertical="center"/>
    </xf>
    <xf numFmtId="0" fontId="32" fillId="12" borderId="9" xfId="0" applyFont="1" applyFill="1" applyBorder="1" applyAlignment="1">
      <alignment horizontal="center" vertical="center"/>
    </xf>
    <xf numFmtId="0" fontId="32" fillId="12" borderId="14" xfId="0" applyFont="1" applyFill="1" applyBorder="1" applyAlignment="1">
      <alignment horizontal="center" vertical="center"/>
    </xf>
    <xf numFmtId="0" fontId="32" fillId="12" borderId="4" xfId="0" applyFont="1" applyFill="1" applyBorder="1" applyAlignment="1">
      <alignment horizontal="center" vertical="center"/>
    </xf>
    <xf numFmtId="0" fontId="32" fillId="12" borderId="0" xfId="0" applyFont="1" applyFill="1" applyAlignment="1">
      <alignment horizontal="center"/>
    </xf>
    <xf numFmtId="0" fontId="32" fillId="12" borderId="11" xfId="0" applyFont="1" applyFill="1" applyBorder="1" applyAlignment="1">
      <alignment horizontal="center"/>
    </xf>
    <xf numFmtId="0" fontId="32" fillId="12" borderId="9" xfId="0" applyFont="1" applyFill="1" applyBorder="1" applyAlignment="1">
      <alignment horizontal="center"/>
    </xf>
    <xf numFmtId="0" fontId="32" fillId="12" borderId="10" xfId="0" applyFont="1" applyFill="1" applyBorder="1" applyAlignment="1">
      <alignment horizontal="center" vertical="center"/>
    </xf>
    <xf numFmtId="0" fontId="0" fillId="12" borderId="9" xfId="0" applyFill="1" applyBorder="1"/>
    <xf numFmtId="0" fontId="36" fillId="12" borderId="9" xfId="0" applyFont="1" applyFill="1" applyBorder="1" applyAlignment="1">
      <alignment horizontal="center" vertical="center"/>
    </xf>
    <xf numFmtId="0" fontId="0" fillId="0" borderId="47" xfId="0" applyBorder="1"/>
    <xf numFmtId="1" fontId="65" fillId="0" borderId="0" xfId="0" applyNumberFormat="1" applyFont="1"/>
    <xf numFmtId="8" fontId="0" fillId="0" borderId="8" xfId="0" applyNumberFormat="1" applyBorder="1"/>
    <xf numFmtId="0" fontId="39" fillId="0" borderId="4" xfId="0" applyFont="1" applyBorder="1" applyAlignment="1">
      <alignment horizontal="center"/>
    </xf>
    <xf numFmtId="0" fontId="39" fillId="0" borderId="4" xfId="0" applyFont="1" applyBorder="1" applyAlignment="1">
      <alignment horizontal="center" vertical="center"/>
    </xf>
    <xf numFmtId="0" fontId="39" fillId="0" borderId="12" xfId="0" applyFont="1" applyBorder="1" applyAlignment="1">
      <alignment horizontal="center"/>
    </xf>
    <xf numFmtId="0" fontId="39" fillId="0" borderId="12" xfId="0" applyFont="1" applyBorder="1" applyAlignment="1">
      <alignment horizontal="center" vertical="center"/>
    </xf>
    <xf numFmtId="0" fontId="40" fillId="0" borderId="0" xfId="0" applyFont="1"/>
    <xf numFmtId="0" fontId="40" fillId="0" borderId="0" xfId="0" applyFont="1" applyAlignment="1">
      <alignment horizontal="center"/>
    </xf>
    <xf numFmtId="0" fontId="46" fillId="0" borderId="0" xfId="0" applyFont="1"/>
    <xf numFmtId="0" fontId="40" fillId="0" borderId="1" xfId="0" applyFont="1" applyBorder="1"/>
    <xf numFmtId="0" fontId="46" fillId="0" borderId="1" xfId="0" applyFont="1" applyBorder="1"/>
    <xf numFmtId="0" fontId="46" fillId="0" borderId="9" xfId="0" applyFont="1" applyBorder="1"/>
    <xf numFmtId="0" fontId="81" fillId="0" borderId="0" xfId="0" applyFont="1"/>
    <xf numFmtId="0" fontId="32" fillId="12" borderId="0" xfId="0" applyFont="1" applyFill="1" applyAlignment="1">
      <alignment horizontal="center" vertical="center"/>
    </xf>
    <xf numFmtId="0" fontId="83" fillId="0" borderId="0" xfId="0" applyFont="1" applyAlignment="1">
      <alignment horizontal="left" vertical="center"/>
    </xf>
    <xf numFmtId="0" fontId="83" fillId="0" borderId="0" xfId="0" applyFont="1"/>
    <xf numFmtId="0" fontId="83" fillId="0" borderId="47" xfId="0" applyFont="1" applyBorder="1" applyAlignment="1">
      <alignment horizontal="center"/>
    </xf>
    <xf numFmtId="0" fontId="83" fillId="0" borderId="0" xfId="0" applyFont="1" applyAlignment="1">
      <alignment horizontal="center"/>
    </xf>
    <xf numFmtId="0" fontId="83" fillId="0" borderId="47" xfId="0" applyFont="1" applyBorder="1"/>
    <xf numFmtId="169" fontId="83" fillId="0" borderId="0" xfId="0" applyNumberFormat="1" applyFont="1"/>
    <xf numFmtId="0" fontId="84" fillId="0" borderId="0" xfId="0" applyFont="1" applyAlignment="1">
      <alignment vertical="center"/>
    </xf>
    <xf numFmtId="0" fontId="83" fillId="0" borderId="0" xfId="0" applyFont="1" applyAlignment="1">
      <alignment vertical="center"/>
    </xf>
    <xf numFmtId="1" fontId="85" fillId="0" borderId="0" xfId="3" applyNumberFormat="1" applyFont="1" applyAlignment="1">
      <alignment horizontal="left"/>
    </xf>
    <xf numFmtId="0" fontId="83" fillId="0" borderId="0" xfId="0" applyFont="1" applyAlignment="1">
      <alignment horizontal="center" vertical="center"/>
    </xf>
    <xf numFmtId="0" fontId="86" fillId="0" borderId="0" xfId="0" applyFont="1" applyAlignment="1">
      <alignment horizontal="center" vertical="center"/>
    </xf>
    <xf numFmtId="0" fontId="65" fillId="0" borderId="0" xfId="0" applyFont="1" applyAlignment="1">
      <alignment horizontal="center" vertical="center"/>
    </xf>
    <xf numFmtId="0" fontId="65" fillId="0" borderId="0" xfId="0" applyFont="1" applyAlignment="1">
      <alignment horizontal="center"/>
    </xf>
    <xf numFmtId="0" fontId="87" fillId="0" borderId="0" xfId="0" applyFont="1" applyAlignment="1">
      <alignment horizontal="left" vertical="center"/>
    </xf>
    <xf numFmtId="0" fontId="32" fillId="0" borderId="11" xfId="0" applyFont="1" applyBorder="1" applyAlignment="1">
      <alignment horizontal="center" vertical="center"/>
    </xf>
    <xf numFmtId="0" fontId="32" fillId="0" borderId="13" xfId="0" applyFont="1" applyBorder="1" applyAlignment="1">
      <alignment horizontal="center" vertical="center"/>
    </xf>
    <xf numFmtId="0" fontId="32" fillId="0" borderId="10" xfId="0" applyFont="1" applyBorder="1" applyAlignment="1">
      <alignment horizontal="center" vertical="center"/>
    </xf>
    <xf numFmtId="0" fontId="32" fillId="0" borderId="7" xfId="0" applyFont="1" applyBorder="1" applyAlignment="1">
      <alignment horizontal="center" vertical="center"/>
    </xf>
    <xf numFmtId="0" fontId="0" fillId="12" borderId="12" xfId="0" applyFill="1" applyBorder="1" applyAlignment="1">
      <alignment horizontal="center"/>
    </xf>
    <xf numFmtId="0" fontId="0" fillId="12" borderId="14" xfId="0" applyFill="1" applyBorder="1" applyAlignment="1">
      <alignment horizontal="center"/>
    </xf>
    <xf numFmtId="0" fontId="32" fillId="0" borderId="11" xfId="0" applyFont="1" applyBorder="1" applyAlignment="1">
      <alignment horizontal="left" vertical="center"/>
    </xf>
    <xf numFmtId="0" fontId="32" fillId="0" borderId="4" xfId="0" applyFont="1" applyBorder="1" applyAlignment="1">
      <alignment horizontal="left" vertical="center"/>
    </xf>
    <xf numFmtId="0" fontId="32" fillId="0" borderId="13" xfId="0" applyFont="1" applyBorder="1" applyAlignment="1">
      <alignment horizontal="left" vertical="center"/>
    </xf>
    <xf numFmtId="0" fontId="32" fillId="0" borderId="10" xfId="0" applyFont="1" applyBorder="1" applyAlignment="1">
      <alignment horizontal="left" vertical="center"/>
    </xf>
    <xf numFmtId="0" fontId="32" fillId="0" borderId="12" xfId="0" applyFont="1" applyBorder="1" applyAlignment="1">
      <alignment horizontal="left" vertical="center"/>
    </xf>
    <xf numFmtId="0" fontId="32" fillId="0" borderId="7" xfId="0" applyFont="1" applyBorder="1" applyAlignment="1">
      <alignment horizontal="left" vertical="center"/>
    </xf>
    <xf numFmtId="0" fontId="32" fillId="0" borderId="5" xfId="0" applyFont="1" applyBorder="1" applyAlignment="1">
      <alignment horizontal="center" vertical="center"/>
    </xf>
    <xf numFmtId="0" fontId="32" fillId="0" borderId="6" xfId="0" applyFont="1" applyBorder="1" applyAlignment="1">
      <alignment horizontal="center" vertical="center"/>
    </xf>
    <xf numFmtId="0" fontId="39" fillId="0" borderId="5" xfId="0" applyFont="1" applyBorder="1" applyAlignment="1">
      <alignment horizontal="center" vertical="center"/>
    </xf>
    <xf numFmtId="0" fontId="39" fillId="0" borderId="6" xfId="0" applyFont="1" applyBorder="1" applyAlignment="1">
      <alignment horizontal="center" vertical="center"/>
    </xf>
    <xf numFmtId="0" fontId="63" fillId="0" borderId="5" xfId="0" applyFont="1" applyBorder="1" applyAlignment="1">
      <alignment horizontal="center" vertical="center"/>
    </xf>
    <xf numFmtId="0" fontId="63" fillId="0" borderId="6" xfId="0" applyFont="1" applyBorder="1" applyAlignment="1">
      <alignment horizontal="center" vertical="center"/>
    </xf>
    <xf numFmtId="0" fontId="83" fillId="0" borderId="0" xfId="0" applyFont="1" applyAlignment="1">
      <alignment horizontal="center"/>
    </xf>
    <xf numFmtId="0" fontId="0" fillId="0" borderId="0" xfId="0" applyAlignment="1">
      <alignment horizontal="center"/>
    </xf>
    <xf numFmtId="0" fontId="82" fillId="0" borderId="0" xfId="0" applyFont="1" applyAlignment="1">
      <alignment horizontal="center"/>
    </xf>
    <xf numFmtId="14" fontId="69" fillId="0" borderId="0" xfId="0" applyNumberFormat="1" applyFont="1" applyAlignment="1">
      <alignment horizontal="center"/>
    </xf>
    <xf numFmtId="0" fontId="67" fillId="0" borderId="16" xfId="0" applyFont="1" applyBorder="1" applyAlignment="1">
      <alignment horizontal="center"/>
    </xf>
    <xf numFmtId="0" fontId="9" fillId="0" borderId="0" xfId="1" applyFont="1" applyAlignment="1">
      <alignment horizontal="center" vertical="center"/>
    </xf>
    <xf numFmtId="0" fontId="78" fillId="0" borderId="0" xfId="1" applyFont="1" applyAlignment="1">
      <alignment horizontal="left" vertical="center"/>
    </xf>
    <xf numFmtId="0" fontId="78" fillId="0" borderId="15" xfId="1" applyFont="1" applyBorder="1" applyAlignment="1">
      <alignment horizontal="left" vertical="center"/>
    </xf>
    <xf numFmtId="0" fontId="9" fillId="10" borderId="24" xfId="1" applyFont="1" applyFill="1" applyBorder="1" applyAlignment="1">
      <alignment horizontal="center"/>
    </xf>
    <xf numFmtId="0" fontId="9" fillId="10" borderId="36" xfId="1" applyFont="1" applyFill="1" applyBorder="1" applyAlignment="1">
      <alignment horizontal="center"/>
    </xf>
    <xf numFmtId="0" fontId="9" fillId="10" borderId="37" xfId="1" applyFont="1" applyFill="1" applyBorder="1" applyAlignment="1">
      <alignment horizontal="center"/>
    </xf>
    <xf numFmtId="0" fontId="9" fillId="10" borderId="38" xfId="1" applyFont="1" applyFill="1" applyBorder="1" applyAlignment="1">
      <alignment horizontal="center"/>
    </xf>
    <xf numFmtId="0" fontId="80" fillId="0" borderId="1" xfId="0" applyFont="1" applyBorder="1" applyAlignment="1">
      <alignment horizontal="center"/>
    </xf>
    <xf numFmtId="0" fontId="88" fillId="0" borderId="0" xfId="0" applyFont="1"/>
  </cellXfs>
  <cellStyles count="19">
    <cellStyle name="Comma 2" xfId="2" xr:uid="{7849C226-E7E0-49B9-91AB-1E79B67B2E94}"/>
    <cellStyle name="Currency 2" xfId="6" xr:uid="{34F53193-3389-41C9-87D2-9023205874D5}"/>
    <cellStyle name="HyperlinkMail" xfId="10" xr:uid="{BDFC5A89-B0CE-40AC-B561-294D3F81DE79}"/>
    <cellStyle name="Normal" xfId="0" builtinId="0"/>
    <cellStyle name="Normal 10" xfId="13" xr:uid="{B69CE88B-5EB7-4F12-B5BA-EF58DB6952C3}"/>
    <cellStyle name="Normal 15" xfId="12" xr:uid="{B14FF18D-67E3-44DA-8DE2-3955F43CF4DE}"/>
    <cellStyle name="Normal 2" xfId="1" xr:uid="{72C1967F-BEFF-4559-ADF9-F7B16D982E7D}"/>
    <cellStyle name="Standaard 17 2" xfId="5" xr:uid="{A95C730C-7190-4C74-A4D1-2E67EC1E96E6}"/>
    <cellStyle name="Standaard 2" xfId="3" xr:uid="{4BC18C29-003A-41B3-9B60-2F4DCFE6472D}"/>
    <cellStyle name="Standaard 2 2" xfId="7" xr:uid="{E8BDF551-9C28-429B-9106-491E99362AA0}"/>
    <cellStyle name="Standaard 2 2 2" xfId="9" xr:uid="{D6EF6349-0B37-423E-9958-9BEB5611E095}"/>
    <cellStyle name="Standaard 3" xfId="14" xr:uid="{4B44CFCC-9C48-4903-897C-B66641CAB88F}"/>
    <cellStyle name="Standaard 4" xfId="15" xr:uid="{5ACAC960-824F-4569-A20F-C23BDBE441E6}"/>
    <cellStyle name="Standaard 5" xfId="4" xr:uid="{8CB79E0F-86CB-4885-A3F5-A5BBE7123B52}"/>
    <cellStyle name="Standaard 6" xfId="16" xr:uid="{06A9F243-E02C-4ADB-B0D0-2AB82BBFC554}"/>
    <cellStyle name="Standaard 6 2" xfId="11" xr:uid="{23B60547-BE7D-43CA-BDAC-68651C43EAB0}"/>
    <cellStyle name="Standaard 7" xfId="17" xr:uid="{D3D94066-8E50-42AE-9CC4-7D0871553F37}"/>
    <cellStyle name="Valuta 2" xfId="8" xr:uid="{52227C80-6BAE-4406-AE69-24DC2E09252B}"/>
    <cellStyle name="Valuta 3" xfId="18" xr:uid="{FA9BB007-BD2E-4198-8E7D-FD20ED2329DA}"/>
  </cellStyles>
  <dxfs count="34">
    <dxf>
      <font>
        <strike val="0"/>
        <color theme="0"/>
      </font>
    </dxf>
    <dxf>
      <font>
        <color theme="0"/>
      </font>
    </dxf>
    <dxf>
      <font>
        <color rgb="FFC00000"/>
      </font>
    </dxf>
    <dxf>
      <font>
        <color rgb="FFFF0000"/>
      </font>
    </dxf>
    <dxf>
      <font>
        <color rgb="FFFF0000"/>
      </font>
    </dxf>
    <dxf>
      <fill>
        <patternFill patternType="solid">
          <fgColor rgb="FFD9D9D9"/>
          <bgColor rgb="FFD9D9D9"/>
        </patternFill>
      </fill>
    </dxf>
    <dxf>
      <font>
        <b/>
        <family val="2"/>
      </font>
    </dxf>
    <dxf>
      <fill>
        <patternFill patternType="solid">
          <fgColor rgb="FFD9D9D9"/>
          <bgColor rgb="FFD9D9D9"/>
        </patternFill>
      </fill>
    </dxf>
    <dxf>
      <font>
        <b/>
        <family val="2"/>
      </font>
      <fill>
        <patternFill patternType="solid">
          <fgColor rgb="FFD9D9D9"/>
          <bgColor rgb="FFD9D9D9"/>
        </patternFill>
      </fill>
    </dxf>
    <dxf>
      <border>
        <top style="thin">
          <color rgb="FF000000"/>
        </top>
      </border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border>
        <top style="thin">
          <color auto="1"/>
        </top>
        <vertical/>
        <horizontal/>
      </border>
    </dxf>
    <dxf>
      <fill>
        <patternFill>
          <bgColor rgb="FF00B050"/>
        </patternFill>
      </fill>
    </dxf>
    <dxf>
      <font>
        <color rgb="FFFFFFFF"/>
        <family val="2"/>
      </font>
    </dxf>
    <dxf>
      <font>
        <color rgb="FFFFFFFF"/>
        <family val="2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13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12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calcChain" Target="calcChain.xml"/><Relationship Id="rId5" Type="http://schemas.openxmlformats.org/officeDocument/2006/relationships/worksheet" Target="worksheets/sheet5.xml"/><Relationship Id="rId10" Type="http://schemas.openxmlformats.org/officeDocument/2006/relationships/sheetMetadata" Target="metadata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Relationship Id="rId14" Type="http://schemas.openxmlformats.org/officeDocument/2006/relationships/customXml" Target="../customXml/item3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20</xdr:col>
      <xdr:colOff>67090</xdr:colOff>
      <xdr:row>19</xdr:row>
      <xdr:rowOff>28159</xdr:rowOff>
    </xdr:from>
    <xdr:ext cx="238125" cy="219075"/>
    <xdr:sp macro="" textlink="">
      <xdr:nvSpPr>
        <xdr:cNvPr id="4" name="Circle: Hollow 223">
          <a:extLst>
            <a:ext uri="{FF2B5EF4-FFF2-40B4-BE49-F238E27FC236}">
              <a16:creationId xmlns:a16="http://schemas.microsoft.com/office/drawing/2014/main" id="{ACF0E702-9A37-4143-9F60-ABF2245A1CBB}"/>
            </a:ext>
          </a:extLst>
        </xdr:cNvPr>
        <xdr:cNvSpPr/>
      </xdr:nvSpPr>
      <xdr:spPr>
        <a:xfrm>
          <a:off x="10055916" y="3647659"/>
          <a:ext cx="238125" cy="219075"/>
        </a:xfrm>
        <a:custGeom>
          <a:avLst>
            <a:gd name="f11" fmla="val 25000"/>
          </a:avLst>
          <a:gdLst>
            <a:gd name="f1" fmla="val 21600000"/>
            <a:gd name="f2" fmla="val 10800000"/>
            <a:gd name="f3" fmla="val 5400000"/>
            <a:gd name="f4" fmla="val 180"/>
            <a:gd name="f5" fmla="val w"/>
            <a:gd name="f6" fmla="val h"/>
            <a:gd name="f7" fmla="val ss"/>
            <a:gd name="f8" fmla="val 0"/>
            <a:gd name="f9" fmla="*/ 5419351 1 1725033"/>
            <a:gd name="f10" fmla="+- 0 0 21600000"/>
            <a:gd name="f11" fmla="val 25000"/>
            <a:gd name="f12" fmla="+- 0 0 -360"/>
            <a:gd name="f13" fmla="+- 0 0 -180"/>
            <a:gd name="f14" fmla="abs f5"/>
            <a:gd name="f15" fmla="abs f6"/>
            <a:gd name="f16" fmla="abs f7"/>
            <a:gd name="f17" fmla="val f8"/>
            <a:gd name="f18" fmla="val f11"/>
            <a:gd name="f19" fmla="+- 2700000 f3 0"/>
            <a:gd name="f20" fmla="*/ f12 f2 1"/>
            <a:gd name="f21" fmla="*/ f13 f2 1"/>
            <a:gd name="f22" fmla="?: f14 f5 1"/>
            <a:gd name="f23" fmla="?: f15 f6 1"/>
            <a:gd name="f24" fmla="?: f16 f7 1"/>
            <a:gd name="f25" fmla="*/ f19 f9 1"/>
            <a:gd name="f26" fmla="*/ f20 1 f4"/>
            <a:gd name="f27" fmla="*/ f21 1 f4"/>
            <a:gd name="f28" fmla="*/ f22 1 21600"/>
            <a:gd name="f29" fmla="*/ f23 1 21600"/>
            <a:gd name="f30" fmla="*/ 21600 f22 1"/>
            <a:gd name="f31" fmla="*/ 21600 f23 1"/>
            <a:gd name="f32" fmla="*/ f25 1 f2"/>
            <a:gd name="f33" fmla="+- f26 0 f3"/>
            <a:gd name="f34" fmla="+- f27 0 f3"/>
            <a:gd name="f35" fmla="min f29 f28"/>
            <a:gd name="f36" fmla="*/ f30 1 f24"/>
            <a:gd name="f37" fmla="*/ f31 1 f24"/>
            <a:gd name="f38" fmla="+- 0 0 f32"/>
            <a:gd name="f39" fmla="val f36"/>
            <a:gd name="f40" fmla="val f37"/>
            <a:gd name="f41" fmla="+- 0 0 f38"/>
            <a:gd name="f42" fmla="*/ f17 f35 1"/>
            <a:gd name="f43" fmla="+- f40 0 f17"/>
            <a:gd name="f44" fmla="+- f39 0 f17"/>
            <a:gd name="f45" fmla="*/ f41 f2 1"/>
            <a:gd name="f46" fmla="*/ f43 1 2"/>
            <a:gd name="f47" fmla="*/ f44 1 2"/>
            <a:gd name="f48" fmla="min f44 f43"/>
            <a:gd name="f49" fmla="*/ f45 1 f9"/>
            <a:gd name="f50" fmla="+- f17 f46 0"/>
            <a:gd name="f51" fmla="+- f17 f47 0"/>
            <a:gd name="f52" fmla="*/ f48 f18 1"/>
            <a:gd name="f53" fmla="+- f49 0 f3"/>
            <a:gd name="f54" fmla="*/ f47 f35 1"/>
            <a:gd name="f55" fmla="*/ f46 f35 1"/>
            <a:gd name="f56" fmla="*/ f52 1 100000"/>
            <a:gd name="f57" fmla="cos 1 f53"/>
            <a:gd name="f58" fmla="sin 1 f53"/>
            <a:gd name="f59" fmla="*/ f50 f35 1"/>
            <a:gd name="f60" fmla="+- f47 0 f56"/>
            <a:gd name="f61" fmla="+- f46 0 f56"/>
            <a:gd name="f62" fmla="+- 0 0 f57"/>
            <a:gd name="f63" fmla="+- 0 0 f58"/>
            <a:gd name="f64" fmla="*/ f56 f35 1"/>
            <a:gd name="f65" fmla="+- 0 0 f62"/>
            <a:gd name="f66" fmla="+- 0 0 f63"/>
            <a:gd name="f67" fmla="*/ f60 f35 1"/>
            <a:gd name="f68" fmla="*/ f61 f35 1"/>
            <a:gd name="f69" fmla="*/ f65 f47 1"/>
            <a:gd name="f70" fmla="*/ f66 f46 1"/>
            <a:gd name="f71" fmla="+- f51 0 f69"/>
            <a:gd name="f72" fmla="+- f51 f69 0"/>
            <a:gd name="f73" fmla="+- f50 0 f70"/>
            <a:gd name="f74" fmla="+- f50 f70 0"/>
            <a:gd name="f75" fmla="*/ f71 f35 1"/>
            <a:gd name="f76" fmla="*/ f73 f35 1"/>
            <a:gd name="f77" fmla="*/ f72 f35 1"/>
            <a:gd name="f78" fmla="*/ f74 f3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3">
              <a:pos x="f75" y="f76"/>
            </a:cxn>
            <a:cxn ang="f34">
              <a:pos x="f75" y="f78"/>
            </a:cxn>
            <a:cxn ang="f34">
              <a:pos x="f77" y="f78"/>
            </a:cxn>
            <a:cxn ang="f33">
              <a:pos x="f77" y="f76"/>
            </a:cxn>
          </a:cxnLst>
          <a:rect l="f75" t="f76" r="f77" b="f78"/>
          <a:pathLst>
            <a:path>
              <a:moveTo>
                <a:pt x="f42" y="f59"/>
              </a:moveTo>
              <a:arcTo wR="f54" hR="f55" stAng="f2" swAng="f1"/>
              <a:close/>
              <a:moveTo>
                <a:pt x="f64" y="f59"/>
              </a:moveTo>
              <a:arcTo wR="f67" hR="f68" stAng="f2" swAng="f10"/>
              <a:close/>
            </a:path>
          </a:pathLst>
        </a:custGeom>
        <a:solidFill>
          <a:srgbClr val="00000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12</xdr:col>
      <xdr:colOff>49698</xdr:colOff>
      <xdr:row>19</xdr:row>
      <xdr:rowOff>24849</xdr:rowOff>
    </xdr:from>
    <xdr:ext cx="238125" cy="219075"/>
    <xdr:sp macro="" textlink="">
      <xdr:nvSpPr>
        <xdr:cNvPr id="5" name="Circle: Hollow 223">
          <a:extLst>
            <a:ext uri="{FF2B5EF4-FFF2-40B4-BE49-F238E27FC236}">
              <a16:creationId xmlns:a16="http://schemas.microsoft.com/office/drawing/2014/main" id="{7274555B-75C0-4F89-9D98-EA147B23E73C}"/>
            </a:ext>
          </a:extLst>
        </xdr:cNvPr>
        <xdr:cNvSpPr/>
      </xdr:nvSpPr>
      <xdr:spPr>
        <a:xfrm>
          <a:off x="8580785" y="3644349"/>
          <a:ext cx="238125" cy="219075"/>
        </a:xfrm>
        <a:custGeom>
          <a:avLst>
            <a:gd name="f11" fmla="val 25000"/>
          </a:avLst>
          <a:gdLst>
            <a:gd name="f1" fmla="val 21600000"/>
            <a:gd name="f2" fmla="val 10800000"/>
            <a:gd name="f3" fmla="val 5400000"/>
            <a:gd name="f4" fmla="val 180"/>
            <a:gd name="f5" fmla="val w"/>
            <a:gd name="f6" fmla="val h"/>
            <a:gd name="f7" fmla="val ss"/>
            <a:gd name="f8" fmla="val 0"/>
            <a:gd name="f9" fmla="*/ 5419351 1 1725033"/>
            <a:gd name="f10" fmla="+- 0 0 21600000"/>
            <a:gd name="f11" fmla="val 25000"/>
            <a:gd name="f12" fmla="+- 0 0 -360"/>
            <a:gd name="f13" fmla="+- 0 0 -180"/>
            <a:gd name="f14" fmla="abs f5"/>
            <a:gd name="f15" fmla="abs f6"/>
            <a:gd name="f16" fmla="abs f7"/>
            <a:gd name="f17" fmla="val f8"/>
            <a:gd name="f18" fmla="val f11"/>
            <a:gd name="f19" fmla="+- 2700000 f3 0"/>
            <a:gd name="f20" fmla="*/ f12 f2 1"/>
            <a:gd name="f21" fmla="*/ f13 f2 1"/>
            <a:gd name="f22" fmla="?: f14 f5 1"/>
            <a:gd name="f23" fmla="?: f15 f6 1"/>
            <a:gd name="f24" fmla="?: f16 f7 1"/>
            <a:gd name="f25" fmla="*/ f19 f9 1"/>
            <a:gd name="f26" fmla="*/ f20 1 f4"/>
            <a:gd name="f27" fmla="*/ f21 1 f4"/>
            <a:gd name="f28" fmla="*/ f22 1 21600"/>
            <a:gd name="f29" fmla="*/ f23 1 21600"/>
            <a:gd name="f30" fmla="*/ 21600 f22 1"/>
            <a:gd name="f31" fmla="*/ 21600 f23 1"/>
            <a:gd name="f32" fmla="*/ f25 1 f2"/>
            <a:gd name="f33" fmla="+- f26 0 f3"/>
            <a:gd name="f34" fmla="+- f27 0 f3"/>
            <a:gd name="f35" fmla="min f29 f28"/>
            <a:gd name="f36" fmla="*/ f30 1 f24"/>
            <a:gd name="f37" fmla="*/ f31 1 f24"/>
            <a:gd name="f38" fmla="+- 0 0 f32"/>
            <a:gd name="f39" fmla="val f36"/>
            <a:gd name="f40" fmla="val f37"/>
            <a:gd name="f41" fmla="+- 0 0 f38"/>
            <a:gd name="f42" fmla="*/ f17 f35 1"/>
            <a:gd name="f43" fmla="+- f40 0 f17"/>
            <a:gd name="f44" fmla="+- f39 0 f17"/>
            <a:gd name="f45" fmla="*/ f41 f2 1"/>
            <a:gd name="f46" fmla="*/ f43 1 2"/>
            <a:gd name="f47" fmla="*/ f44 1 2"/>
            <a:gd name="f48" fmla="min f44 f43"/>
            <a:gd name="f49" fmla="*/ f45 1 f9"/>
            <a:gd name="f50" fmla="+- f17 f46 0"/>
            <a:gd name="f51" fmla="+- f17 f47 0"/>
            <a:gd name="f52" fmla="*/ f48 f18 1"/>
            <a:gd name="f53" fmla="+- f49 0 f3"/>
            <a:gd name="f54" fmla="*/ f47 f35 1"/>
            <a:gd name="f55" fmla="*/ f46 f35 1"/>
            <a:gd name="f56" fmla="*/ f52 1 100000"/>
            <a:gd name="f57" fmla="cos 1 f53"/>
            <a:gd name="f58" fmla="sin 1 f53"/>
            <a:gd name="f59" fmla="*/ f50 f35 1"/>
            <a:gd name="f60" fmla="+- f47 0 f56"/>
            <a:gd name="f61" fmla="+- f46 0 f56"/>
            <a:gd name="f62" fmla="+- 0 0 f57"/>
            <a:gd name="f63" fmla="+- 0 0 f58"/>
            <a:gd name="f64" fmla="*/ f56 f35 1"/>
            <a:gd name="f65" fmla="+- 0 0 f62"/>
            <a:gd name="f66" fmla="+- 0 0 f63"/>
            <a:gd name="f67" fmla="*/ f60 f35 1"/>
            <a:gd name="f68" fmla="*/ f61 f35 1"/>
            <a:gd name="f69" fmla="*/ f65 f47 1"/>
            <a:gd name="f70" fmla="*/ f66 f46 1"/>
            <a:gd name="f71" fmla="+- f51 0 f69"/>
            <a:gd name="f72" fmla="+- f51 f69 0"/>
            <a:gd name="f73" fmla="+- f50 0 f70"/>
            <a:gd name="f74" fmla="+- f50 f70 0"/>
            <a:gd name="f75" fmla="*/ f71 f35 1"/>
            <a:gd name="f76" fmla="*/ f73 f35 1"/>
            <a:gd name="f77" fmla="*/ f72 f35 1"/>
            <a:gd name="f78" fmla="*/ f74 f3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3">
              <a:pos x="f75" y="f76"/>
            </a:cxn>
            <a:cxn ang="f34">
              <a:pos x="f75" y="f78"/>
            </a:cxn>
            <a:cxn ang="f34">
              <a:pos x="f77" y="f78"/>
            </a:cxn>
            <a:cxn ang="f33">
              <a:pos x="f77" y="f76"/>
            </a:cxn>
          </a:cxnLst>
          <a:rect l="f75" t="f76" r="f77" b="f78"/>
          <a:pathLst>
            <a:path>
              <a:moveTo>
                <a:pt x="f42" y="f59"/>
              </a:moveTo>
              <a:arcTo wR="f54" hR="f55" stAng="f2" swAng="f1"/>
              <a:close/>
              <a:moveTo>
                <a:pt x="f64" y="f59"/>
              </a:moveTo>
              <a:arcTo wR="f67" hR="f68" stAng="f2" swAng="f10"/>
              <a:close/>
            </a:path>
          </a:pathLst>
        </a:custGeom>
        <a:solidFill>
          <a:srgbClr val="00000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twoCellAnchor editAs="oneCell">
    <xdr:from>
      <xdr:col>6</xdr:col>
      <xdr:colOff>194168</xdr:colOff>
      <xdr:row>0</xdr:row>
      <xdr:rowOff>165651</xdr:rowOff>
    </xdr:from>
    <xdr:to>
      <xdr:col>9</xdr:col>
      <xdr:colOff>1493463</xdr:colOff>
      <xdr:row>12</xdr:row>
      <xdr:rowOff>140804</xdr:rowOff>
    </xdr:to>
    <xdr:pic>
      <xdr:nvPicPr>
        <xdr:cNvPr id="7" name="Picture 6">
          <a:extLst>
            <a:ext uri="{FF2B5EF4-FFF2-40B4-BE49-F238E27FC236}">
              <a16:creationId xmlns:a16="http://schemas.microsoft.com/office/drawing/2014/main" id="{EA0369F9-E4B7-FE4A-6A67-2DEA5340301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037298" y="165651"/>
          <a:ext cx="3262274" cy="2261153"/>
        </a:xfrm>
        <a:prstGeom prst="rect">
          <a:avLst/>
        </a:prstGeom>
      </xdr:spPr>
    </xdr:pic>
    <xdr:clientData fPrintsWithSheet="0"/>
  </xdr:twoCellAnchor>
  <xdr:oneCellAnchor>
    <xdr:from>
      <xdr:col>34</xdr:col>
      <xdr:colOff>50525</xdr:colOff>
      <xdr:row>19</xdr:row>
      <xdr:rowOff>28158</xdr:rowOff>
    </xdr:from>
    <xdr:ext cx="238125" cy="219075"/>
    <xdr:sp macro="" textlink="">
      <xdr:nvSpPr>
        <xdr:cNvPr id="8" name="Circle: Hollow 223">
          <a:extLst>
            <a:ext uri="{FF2B5EF4-FFF2-40B4-BE49-F238E27FC236}">
              <a16:creationId xmlns:a16="http://schemas.microsoft.com/office/drawing/2014/main" id="{0C6000B4-0C35-41C4-9DA3-EAFE1E6A504B}"/>
            </a:ext>
          </a:extLst>
        </xdr:cNvPr>
        <xdr:cNvSpPr/>
      </xdr:nvSpPr>
      <xdr:spPr>
        <a:xfrm>
          <a:off x="12391612" y="3647658"/>
          <a:ext cx="238125" cy="219075"/>
        </a:xfrm>
        <a:custGeom>
          <a:avLst>
            <a:gd name="f11" fmla="val 25000"/>
          </a:avLst>
          <a:gdLst>
            <a:gd name="f1" fmla="val 21600000"/>
            <a:gd name="f2" fmla="val 10800000"/>
            <a:gd name="f3" fmla="val 5400000"/>
            <a:gd name="f4" fmla="val 180"/>
            <a:gd name="f5" fmla="val w"/>
            <a:gd name="f6" fmla="val h"/>
            <a:gd name="f7" fmla="val ss"/>
            <a:gd name="f8" fmla="val 0"/>
            <a:gd name="f9" fmla="*/ 5419351 1 1725033"/>
            <a:gd name="f10" fmla="+- 0 0 21600000"/>
            <a:gd name="f11" fmla="val 25000"/>
            <a:gd name="f12" fmla="+- 0 0 -360"/>
            <a:gd name="f13" fmla="+- 0 0 -180"/>
            <a:gd name="f14" fmla="abs f5"/>
            <a:gd name="f15" fmla="abs f6"/>
            <a:gd name="f16" fmla="abs f7"/>
            <a:gd name="f17" fmla="val f8"/>
            <a:gd name="f18" fmla="val f11"/>
            <a:gd name="f19" fmla="+- 2700000 f3 0"/>
            <a:gd name="f20" fmla="*/ f12 f2 1"/>
            <a:gd name="f21" fmla="*/ f13 f2 1"/>
            <a:gd name="f22" fmla="?: f14 f5 1"/>
            <a:gd name="f23" fmla="?: f15 f6 1"/>
            <a:gd name="f24" fmla="?: f16 f7 1"/>
            <a:gd name="f25" fmla="*/ f19 f9 1"/>
            <a:gd name="f26" fmla="*/ f20 1 f4"/>
            <a:gd name="f27" fmla="*/ f21 1 f4"/>
            <a:gd name="f28" fmla="*/ f22 1 21600"/>
            <a:gd name="f29" fmla="*/ f23 1 21600"/>
            <a:gd name="f30" fmla="*/ 21600 f22 1"/>
            <a:gd name="f31" fmla="*/ 21600 f23 1"/>
            <a:gd name="f32" fmla="*/ f25 1 f2"/>
            <a:gd name="f33" fmla="+- f26 0 f3"/>
            <a:gd name="f34" fmla="+- f27 0 f3"/>
            <a:gd name="f35" fmla="min f29 f28"/>
            <a:gd name="f36" fmla="*/ f30 1 f24"/>
            <a:gd name="f37" fmla="*/ f31 1 f24"/>
            <a:gd name="f38" fmla="+- 0 0 f32"/>
            <a:gd name="f39" fmla="val f36"/>
            <a:gd name="f40" fmla="val f37"/>
            <a:gd name="f41" fmla="+- 0 0 f38"/>
            <a:gd name="f42" fmla="*/ f17 f35 1"/>
            <a:gd name="f43" fmla="+- f40 0 f17"/>
            <a:gd name="f44" fmla="+- f39 0 f17"/>
            <a:gd name="f45" fmla="*/ f41 f2 1"/>
            <a:gd name="f46" fmla="*/ f43 1 2"/>
            <a:gd name="f47" fmla="*/ f44 1 2"/>
            <a:gd name="f48" fmla="min f44 f43"/>
            <a:gd name="f49" fmla="*/ f45 1 f9"/>
            <a:gd name="f50" fmla="+- f17 f46 0"/>
            <a:gd name="f51" fmla="+- f17 f47 0"/>
            <a:gd name="f52" fmla="*/ f48 f18 1"/>
            <a:gd name="f53" fmla="+- f49 0 f3"/>
            <a:gd name="f54" fmla="*/ f47 f35 1"/>
            <a:gd name="f55" fmla="*/ f46 f35 1"/>
            <a:gd name="f56" fmla="*/ f52 1 100000"/>
            <a:gd name="f57" fmla="cos 1 f53"/>
            <a:gd name="f58" fmla="sin 1 f53"/>
            <a:gd name="f59" fmla="*/ f50 f35 1"/>
            <a:gd name="f60" fmla="+- f47 0 f56"/>
            <a:gd name="f61" fmla="+- f46 0 f56"/>
            <a:gd name="f62" fmla="+- 0 0 f57"/>
            <a:gd name="f63" fmla="+- 0 0 f58"/>
            <a:gd name="f64" fmla="*/ f56 f35 1"/>
            <a:gd name="f65" fmla="+- 0 0 f62"/>
            <a:gd name="f66" fmla="+- 0 0 f63"/>
            <a:gd name="f67" fmla="*/ f60 f35 1"/>
            <a:gd name="f68" fmla="*/ f61 f35 1"/>
            <a:gd name="f69" fmla="*/ f65 f47 1"/>
            <a:gd name="f70" fmla="*/ f66 f46 1"/>
            <a:gd name="f71" fmla="+- f51 0 f69"/>
            <a:gd name="f72" fmla="+- f51 f69 0"/>
            <a:gd name="f73" fmla="+- f50 0 f70"/>
            <a:gd name="f74" fmla="+- f50 f70 0"/>
            <a:gd name="f75" fmla="*/ f71 f35 1"/>
            <a:gd name="f76" fmla="*/ f73 f35 1"/>
            <a:gd name="f77" fmla="*/ f72 f35 1"/>
            <a:gd name="f78" fmla="*/ f74 f3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3">
              <a:pos x="f75" y="f76"/>
            </a:cxn>
            <a:cxn ang="f34">
              <a:pos x="f75" y="f78"/>
            </a:cxn>
            <a:cxn ang="f34">
              <a:pos x="f77" y="f78"/>
            </a:cxn>
            <a:cxn ang="f33">
              <a:pos x="f77" y="f76"/>
            </a:cxn>
          </a:cxnLst>
          <a:rect l="f75" t="f76" r="f77" b="f78"/>
          <a:pathLst>
            <a:path>
              <a:moveTo>
                <a:pt x="f42" y="f59"/>
              </a:moveTo>
              <a:arcTo wR="f54" hR="f55" stAng="f2" swAng="f1"/>
              <a:close/>
              <a:moveTo>
                <a:pt x="f64" y="f59"/>
              </a:moveTo>
              <a:arcTo wR="f67" hR="f68" stAng="f2" swAng="f10"/>
              <a:close/>
            </a:path>
          </a:pathLst>
        </a:custGeom>
        <a:solidFill>
          <a:srgbClr val="00000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  <xdr:oneCellAnchor>
    <xdr:from>
      <xdr:col>26</xdr:col>
      <xdr:colOff>49698</xdr:colOff>
      <xdr:row>19</xdr:row>
      <xdr:rowOff>24849</xdr:rowOff>
    </xdr:from>
    <xdr:ext cx="238125" cy="219075"/>
    <xdr:sp macro="" textlink="">
      <xdr:nvSpPr>
        <xdr:cNvPr id="9" name="Circle: Hollow 223">
          <a:extLst>
            <a:ext uri="{FF2B5EF4-FFF2-40B4-BE49-F238E27FC236}">
              <a16:creationId xmlns:a16="http://schemas.microsoft.com/office/drawing/2014/main" id="{39DB1543-6704-4820-8676-74D68B8E10E1}"/>
            </a:ext>
          </a:extLst>
        </xdr:cNvPr>
        <xdr:cNvSpPr/>
      </xdr:nvSpPr>
      <xdr:spPr>
        <a:xfrm>
          <a:off x="8580785" y="3644349"/>
          <a:ext cx="238125" cy="219075"/>
        </a:xfrm>
        <a:custGeom>
          <a:avLst>
            <a:gd name="f11" fmla="val 25000"/>
          </a:avLst>
          <a:gdLst>
            <a:gd name="f1" fmla="val 21600000"/>
            <a:gd name="f2" fmla="val 10800000"/>
            <a:gd name="f3" fmla="val 5400000"/>
            <a:gd name="f4" fmla="val 180"/>
            <a:gd name="f5" fmla="val w"/>
            <a:gd name="f6" fmla="val h"/>
            <a:gd name="f7" fmla="val ss"/>
            <a:gd name="f8" fmla="val 0"/>
            <a:gd name="f9" fmla="*/ 5419351 1 1725033"/>
            <a:gd name="f10" fmla="+- 0 0 21600000"/>
            <a:gd name="f11" fmla="val 25000"/>
            <a:gd name="f12" fmla="+- 0 0 -360"/>
            <a:gd name="f13" fmla="+- 0 0 -180"/>
            <a:gd name="f14" fmla="abs f5"/>
            <a:gd name="f15" fmla="abs f6"/>
            <a:gd name="f16" fmla="abs f7"/>
            <a:gd name="f17" fmla="val f8"/>
            <a:gd name="f18" fmla="val f11"/>
            <a:gd name="f19" fmla="+- 2700000 f3 0"/>
            <a:gd name="f20" fmla="*/ f12 f2 1"/>
            <a:gd name="f21" fmla="*/ f13 f2 1"/>
            <a:gd name="f22" fmla="?: f14 f5 1"/>
            <a:gd name="f23" fmla="?: f15 f6 1"/>
            <a:gd name="f24" fmla="?: f16 f7 1"/>
            <a:gd name="f25" fmla="*/ f19 f9 1"/>
            <a:gd name="f26" fmla="*/ f20 1 f4"/>
            <a:gd name="f27" fmla="*/ f21 1 f4"/>
            <a:gd name="f28" fmla="*/ f22 1 21600"/>
            <a:gd name="f29" fmla="*/ f23 1 21600"/>
            <a:gd name="f30" fmla="*/ 21600 f22 1"/>
            <a:gd name="f31" fmla="*/ 21600 f23 1"/>
            <a:gd name="f32" fmla="*/ f25 1 f2"/>
            <a:gd name="f33" fmla="+- f26 0 f3"/>
            <a:gd name="f34" fmla="+- f27 0 f3"/>
            <a:gd name="f35" fmla="min f29 f28"/>
            <a:gd name="f36" fmla="*/ f30 1 f24"/>
            <a:gd name="f37" fmla="*/ f31 1 f24"/>
            <a:gd name="f38" fmla="+- 0 0 f32"/>
            <a:gd name="f39" fmla="val f36"/>
            <a:gd name="f40" fmla="val f37"/>
            <a:gd name="f41" fmla="+- 0 0 f38"/>
            <a:gd name="f42" fmla="*/ f17 f35 1"/>
            <a:gd name="f43" fmla="+- f40 0 f17"/>
            <a:gd name="f44" fmla="+- f39 0 f17"/>
            <a:gd name="f45" fmla="*/ f41 f2 1"/>
            <a:gd name="f46" fmla="*/ f43 1 2"/>
            <a:gd name="f47" fmla="*/ f44 1 2"/>
            <a:gd name="f48" fmla="min f44 f43"/>
            <a:gd name="f49" fmla="*/ f45 1 f9"/>
            <a:gd name="f50" fmla="+- f17 f46 0"/>
            <a:gd name="f51" fmla="+- f17 f47 0"/>
            <a:gd name="f52" fmla="*/ f48 f18 1"/>
            <a:gd name="f53" fmla="+- f49 0 f3"/>
            <a:gd name="f54" fmla="*/ f47 f35 1"/>
            <a:gd name="f55" fmla="*/ f46 f35 1"/>
            <a:gd name="f56" fmla="*/ f52 1 100000"/>
            <a:gd name="f57" fmla="cos 1 f53"/>
            <a:gd name="f58" fmla="sin 1 f53"/>
            <a:gd name="f59" fmla="*/ f50 f35 1"/>
            <a:gd name="f60" fmla="+- f47 0 f56"/>
            <a:gd name="f61" fmla="+- f46 0 f56"/>
            <a:gd name="f62" fmla="+- 0 0 f57"/>
            <a:gd name="f63" fmla="+- 0 0 f58"/>
            <a:gd name="f64" fmla="*/ f56 f35 1"/>
            <a:gd name="f65" fmla="+- 0 0 f62"/>
            <a:gd name="f66" fmla="+- 0 0 f63"/>
            <a:gd name="f67" fmla="*/ f60 f35 1"/>
            <a:gd name="f68" fmla="*/ f61 f35 1"/>
            <a:gd name="f69" fmla="*/ f65 f47 1"/>
            <a:gd name="f70" fmla="*/ f66 f46 1"/>
            <a:gd name="f71" fmla="+- f51 0 f69"/>
            <a:gd name="f72" fmla="+- f51 f69 0"/>
            <a:gd name="f73" fmla="+- f50 0 f70"/>
            <a:gd name="f74" fmla="+- f50 f70 0"/>
            <a:gd name="f75" fmla="*/ f71 f35 1"/>
            <a:gd name="f76" fmla="*/ f73 f35 1"/>
            <a:gd name="f77" fmla="*/ f72 f35 1"/>
            <a:gd name="f78" fmla="*/ f74 f35 1"/>
          </a:gdLst>
          <a:ahLst/>
          <a:cxnLst>
            <a:cxn ang="3cd4">
              <a:pos x="hc" y="t"/>
            </a:cxn>
            <a:cxn ang="0">
              <a:pos x="r" y="vc"/>
            </a:cxn>
            <a:cxn ang="cd4">
              <a:pos x="hc" y="b"/>
            </a:cxn>
            <a:cxn ang="cd2">
              <a:pos x="l" y="vc"/>
            </a:cxn>
            <a:cxn ang="f33">
              <a:pos x="f75" y="f76"/>
            </a:cxn>
            <a:cxn ang="f34">
              <a:pos x="f75" y="f78"/>
            </a:cxn>
            <a:cxn ang="f34">
              <a:pos x="f77" y="f78"/>
            </a:cxn>
            <a:cxn ang="f33">
              <a:pos x="f77" y="f76"/>
            </a:cxn>
          </a:cxnLst>
          <a:rect l="f75" t="f76" r="f77" b="f78"/>
          <a:pathLst>
            <a:path>
              <a:moveTo>
                <a:pt x="f42" y="f59"/>
              </a:moveTo>
              <a:arcTo wR="f54" hR="f55" stAng="f2" swAng="f1"/>
              <a:close/>
              <a:moveTo>
                <a:pt x="f64" y="f59"/>
              </a:moveTo>
              <a:arcTo wR="f67" hR="f68" stAng="f2" swAng="f10"/>
              <a:close/>
            </a:path>
          </a:pathLst>
        </a:custGeom>
        <a:solidFill>
          <a:srgbClr val="000000"/>
        </a:solidFill>
        <a:ln w="12701" cap="flat">
          <a:solidFill>
            <a:srgbClr val="2F528F"/>
          </a:solidFill>
          <a:prstDash val="solid"/>
          <a:miter/>
        </a:ln>
      </xdr:spPr>
      <xdr:txBody>
        <a:bodyPr vert="horz" wrap="square" lIns="91440" tIns="45720" rIns="91440" bIns="45720" anchor="t" anchorCtr="0" compatLnSpc="0">
          <a:noAutofit/>
        </a:bodyPr>
        <a:lstStyle/>
        <a:p>
          <a:pPr marL="0" marR="0" lvl="0" indent="0" algn="l" defTabSz="914400" rtl="0" fontAlgn="auto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None/>
            <a:tabLst/>
            <a:defRPr sz="1800" b="0" i="0" u="none" strike="noStrike" kern="0" cap="none" spc="0" baseline="0">
              <a:solidFill>
                <a:srgbClr val="000000"/>
              </a:solidFill>
              <a:uFillTx/>
            </a:defRPr>
          </a:pPr>
          <a:endParaRPr lang="en-GB" sz="1100" b="0" i="0" u="none" strike="noStrike" kern="0" cap="none" spc="0" baseline="0">
            <a:solidFill>
              <a:srgbClr val="000000"/>
            </a:solidFill>
            <a:uFillTx/>
            <a:latin typeface="Calibri"/>
          </a:endParaRPr>
        </a:p>
      </xdr:txBody>
    </xdr:sp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C7ED4A1-3888-497B-B2A5-FF215141E245}">
  <sheetPr>
    <pageSetUpPr fitToPage="1"/>
  </sheetPr>
  <dimension ref="A1:AP390"/>
  <sheetViews>
    <sheetView showGridLines="0" tabSelected="1" zoomScale="115" zoomScaleNormal="115" zoomScaleSheetLayoutView="85" workbookViewId="0">
      <selection activeCell="N20" sqref="N20"/>
    </sheetView>
  </sheetViews>
  <sheetFormatPr defaultRowHeight="15" x14ac:dyDescent="0.25"/>
  <cols>
    <col min="1" max="1" width="3.42578125" customWidth="1"/>
    <col min="2" max="2" width="3.28515625" customWidth="1"/>
    <col min="3" max="3" width="13.140625" customWidth="1"/>
    <col min="4" max="4" width="14.42578125" customWidth="1"/>
    <col min="5" max="5" width="18.42578125" customWidth="1"/>
    <col min="6" max="6" width="5" customWidth="1"/>
    <col min="7" max="7" width="16.42578125" bestFit="1" customWidth="1"/>
    <col min="8" max="8" width="6.5703125" customWidth="1"/>
    <col min="9" max="9" width="6.42578125" customWidth="1"/>
    <col min="10" max="10" width="27.85546875" customWidth="1"/>
    <col min="11" max="11" width="7.140625" customWidth="1"/>
    <col min="12" max="12" width="5.85546875" customWidth="1"/>
    <col min="13" max="22" width="2.7109375" customWidth="1"/>
    <col min="23" max="26" width="2" customWidth="1"/>
    <col min="27" max="36" width="2.7109375" customWidth="1"/>
  </cols>
  <sheetData>
    <row r="1" spans="3:40" x14ac:dyDescent="0.25">
      <c r="D1" s="372"/>
      <c r="E1" s="372"/>
      <c r="M1" s="387" t="s">
        <v>696</v>
      </c>
      <c r="N1" s="387"/>
      <c r="O1" s="387"/>
      <c r="P1" s="387"/>
      <c r="Q1" s="387"/>
      <c r="R1" s="387"/>
      <c r="S1" s="387"/>
      <c r="T1" s="387"/>
      <c r="U1" s="387"/>
      <c r="V1" s="387"/>
      <c r="W1" s="219"/>
      <c r="X1" s="219"/>
      <c r="Y1" s="219"/>
      <c r="Z1" s="219" t="e">
        <f>TB!D116</f>
        <v>#N/A</v>
      </c>
      <c r="AA1" s="387" t="s">
        <v>702</v>
      </c>
      <c r="AB1" s="387"/>
      <c r="AC1" s="387"/>
      <c r="AD1" s="387"/>
      <c r="AE1" s="387"/>
      <c r="AF1" s="387"/>
      <c r="AG1" s="387"/>
      <c r="AH1" s="387"/>
      <c r="AI1" s="387"/>
      <c r="AJ1" s="387"/>
      <c r="AK1" s="219"/>
      <c r="AL1" s="219"/>
      <c r="AM1" s="219"/>
      <c r="AN1" s="219" t="e">
        <f>TB!D135</f>
        <v>#N/A</v>
      </c>
    </row>
    <row r="2" spans="3:40" x14ac:dyDescent="0.25">
      <c r="C2" s="326" t="s">
        <v>946</v>
      </c>
      <c r="D2" s="373"/>
      <c r="E2" s="373"/>
      <c r="M2" s="339"/>
      <c r="V2" s="327"/>
      <c r="W2" s="219">
        <f>X3+W3</f>
        <v>1</v>
      </c>
      <c r="X2" s="219"/>
      <c r="Y2" s="219" t="e">
        <f>_xlfn.XLOOKUP(W2,TB!A$263:A$269,TB!B$263:B$269)*Z2</f>
        <v>#N/A</v>
      </c>
      <c r="Z2" s="219" t="e">
        <f>IF(Z$1-10&gt;0,0,1)</f>
        <v>#N/A</v>
      </c>
      <c r="AA2" s="339"/>
      <c r="AJ2" s="327"/>
      <c r="AK2" s="219">
        <f>AL3+AK3</f>
        <v>1</v>
      </c>
      <c r="AL2" s="219"/>
      <c r="AM2" s="219" t="e">
        <f>_xlfn.XLOOKUP(AK2,TB!A$263:A$269,TB!C$263:C$269)*AN2</f>
        <v>#N/A</v>
      </c>
      <c r="AN2" s="219" t="e">
        <f>IF(AN$1-20&gt;0,0,1)</f>
        <v>#N/A</v>
      </c>
    </row>
    <row r="3" spans="3:40" x14ac:dyDescent="0.25">
      <c r="C3" s="27"/>
      <c r="D3" s="373"/>
      <c r="E3" s="373"/>
      <c r="M3" s="339"/>
      <c r="V3" s="327"/>
      <c r="W3" s="219">
        <f>X4+W4</f>
        <v>1</v>
      </c>
      <c r="X3" s="219"/>
      <c r="Y3" s="219" t="e">
        <f>_xlfn.XLOOKUP(W3,TB!A$263:A$269,TB!B$263:B$269)*Z3</f>
        <v>#N/A</v>
      </c>
      <c r="Z3" s="219" t="e">
        <f>IF(Z$1-20&gt;0,0,1)</f>
        <v>#N/A</v>
      </c>
      <c r="AA3" s="339"/>
      <c r="AJ3" s="327"/>
      <c r="AK3" s="219">
        <f>AL4+AK4</f>
        <v>1</v>
      </c>
      <c r="AL3" s="219"/>
      <c r="AM3" s="219" t="e">
        <f>_xlfn.XLOOKUP(AK3,TB!A$263:A$269,TB!C$263:C$269)*AN3</f>
        <v>#N/A</v>
      </c>
      <c r="AN3" s="219" t="e">
        <f>IF(AN$1-30&gt;0,0,1)</f>
        <v>#N/A</v>
      </c>
    </row>
    <row r="4" spans="3:40" x14ac:dyDescent="0.25">
      <c r="C4" s="326" t="s">
        <v>947</v>
      </c>
      <c r="D4" s="373"/>
      <c r="E4" s="373"/>
      <c r="M4" s="339"/>
      <c r="V4" s="327"/>
      <c r="W4" s="219">
        <f t="shared" ref="W4:W17" si="0">X5+W5</f>
        <v>1</v>
      </c>
      <c r="X4" s="219">
        <f>COUNTIF('Nursery Sheet'!F$4:F$9,29)+COUNTIF('Nursery Sheet'!F$4:F$9,30)</f>
        <v>0</v>
      </c>
      <c r="Y4" s="219" t="e">
        <f>_xlfn.XLOOKUP(W4,TB!A$263:A$269,TB!B$263:B$269)*Z4</f>
        <v>#N/A</v>
      </c>
      <c r="Z4" s="219" t="e">
        <f>IF(Z$1-30&gt;0,0,1)</f>
        <v>#N/A</v>
      </c>
      <c r="AA4" s="339"/>
      <c r="AJ4" s="327"/>
      <c r="AK4" s="219">
        <f t="shared" ref="AK4:AK17" si="1">AL5+AK5</f>
        <v>1</v>
      </c>
      <c r="AL4" s="219">
        <f>COUNTIF('Nursery Sheet'!G$4:G$9,29)+COUNTIF('Nursery Sheet'!G$4:G$9,30)</f>
        <v>0</v>
      </c>
      <c r="AM4" s="219" t="e">
        <f>_xlfn.XLOOKUP(AK4,TB!A$263:A$269,TB!C$263:C$269)*AN4</f>
        <v>#N/A</v>
      </c>
      <c r="AN4" s="219" t="e">
        <f>IF(AN$1-40&gt;0,0,1)</f>
        <v>#N/A</v>
      </c>
    </row>
    <row r="5" spans="3:40" x14ac:dyDescent="0.25">
      <c r="C5" s="27"/>
      <c r="D5" s="373"/>
      <c r="E5" s="373"/>
      <c r="M5" s="339"/>
      <c r="V5" s="327"/>
      <c r="W5" s="219">
        <f t="shared" si="0"/>
        <v>1</v>
      </c>
      <c r="X5" s="219">
        <f>COUNTIF('Nursery Sheet'!F$4:F$9,27)+COUNTIF('Nursery Sheet'!F$4:F$9,28)</f>
        <v>0</v>
      </c>
      <c r="Y5" s="219" t="e">
        <f>_xlfn.XLOOKUP(W5,TB!A$263:A$269,TB!B$263:B$269)*Z5</f>
        <v>#N/A</v>
      </c>
      <c r="Z5" s="219" t="e">
        <f>IF(Z$1-40&gt;0,0,1)</f>
        <v>#N/A</v>
      </c>
      <c r="AA5" s="339"/>
      <c r="AJ5" s="327"/>
      <c r="AK5" s="219">
        <f t="shared" si="1"/>
        <v>1</v>
      </c>
      <c r="AL5" s="219">
        <f>COUNTIF('Nursery Sheet'!G$4:G$9,27)+COUNTIF('Nursery Sheet'!G$4:G$9,28)</f>
        <v>0</v>
      </c>
      <c r="AM5" s="219" t="e">
        <f>_xlfn.XLOOKUP(AK5,TB!A$263:A$269,TB!C$263:C$269)*AN5</f>
        <v>#N/A</v>
      </c>
      <c r="AN5" s="219" t="e">
        <f>IF(AN$1-50&gt;0,0,1)</f>
        <v>#N/A</v>
      </c>
    </row>
    <row r="6" spans="3:40" x14ac:dyDescent="0.25">
      <c r="C6" s="326" t="s">
        <v>948</v>
      </c>
      <c r="D6" s="373"/>
      <c r="E6" s="373"/>
      <c r="M6" s="339"/>
      <c r="V6" s="327"/>
      <c r="W6" s="219">
        <f t="shared" si="0"/>
        <v>1</v>
      </c>
      <c r="X6" s="219">
        <f>COUNTIF('Nursery Sheet'!F$4:F$9,25)+COUNTIF('Nursery Sheet'!F$4:F$9,26)</f>
        <v>0</v>
      </c>
      <c r="Y6" s="219" t="e">
        <f>_xlfn.XLOOKUP(W6,TB!A$263:A$269,TB!B$263:B$269)*Z6</f>
        <v>#N/A</v>
      </c>
      <c r="Z6" s="219" t="e">
        <f>IF(Z$1-50&gt;0,0,1)</f>
        <v>#N/A</v>
      </c>
      <c r="AA6" s="339"/>
      <c r="AJ6" s="327"/>
      <c r="AK6" s="219">
        <f t="shared" si="1"/>
        <v>1</v>
      </c>
      <c r="AL6" s="219">
        <f>COUNTIF('Nursery Sheet'!G$4:G$9,25)+COUNTIF('Nursery Sheet'!G$4:G$9,26)</f>
        <v>0</v>
      </c>
      <c r="AM6" s="219" t="e">
        <f>_xlfn.XLOOKUP(AK6,TB!A$263:A$269,TB!C$263:C$269)*AN6</f>
        <v>#N/A</v>
      </c>
      <c r="AN6" s="219" t="e">
        <f>IF(AN$1-60&gt;0,0,1)</f>
        <v>#N/A</v>
      </c>
    </row>
    <row r="7" spans="3:40" x14ac:dyDescent="0.25">
      <c r="C7" s="27"/>
      <c r="D7" s="373"/>
      <c r="E7" s="373"/>
      <c r="M7" s="339"/>
      <c r="V7" s="327"/>
      <c r="W7" s="219">
        <f t="shared" si="0"/>
        <v>1</v>
      </c>
      <c r="X7" s="219">
        <f>COUNTIF('Nursery Sheet'!F$4:F$9,23)+COUNTIF('Nursery Sheet'!F$4:F$9,24)</f>
        <v>0</v>
      </c>
      <c r="Y7" s="219" t="e">
        <f>_xlfn.XLOOKUP(W7,TB!A$263:A$269,TB!B$263:B$269)*Z7</f>
        <v>#N/A</v>
      </c>
      <c r="Z7" s="219" t="e">
        <f>IF(Z$1-60&gt;0,0,1)</f>
        <v>#N/A</v>
      </c>
      <c r="AA7" s="339"/>
      <c r="AJ7" s="327"/>
      <c r="AK7" s="219">
        <f t="shared" si="1"/>
        <v>1</v>
      </c>
      <c r="AL7" s="219">
        <f>COUNTIF('Nursery Sheet'!G$4:G$9,23)+COUNTIF('Nursery Sheet'!G$4:G$9,24)</f>
        <v>0</v>
      </c>
      <c r="AM7" s="219" t="e">
        <f>_xlfn.XLOOKUP(AK7,TB!A$263:A$269,TB!C$263:C$269)*AN7</f>
        <v>#N/A</v>
      </c>
      <c r="AN7" s="219" t="e">
        <f>IF(AN$1-70&gt;0,0,1)</f>
        <v>#N/A</v>
      </c>
    </row>
    <row r="8" spans="3:40" x14ac:dyDescent="0.25">
      <c r="C8" s="326" t="s">
        <v>949</v>
      </c>
      <c r="D8" s="373"/>
      <c r="E8" s="373"/>
      <c r="M8" s="339"/>
      <c r="V8" s="327"/>
      <c r="W8" s="219">
        <f t="shared" si="0"/>
        <v>1</v>
      </c>
      <c r="X8" s="219">
        <f>COUNTIF('Nursery Sheet'!F$4:F$9,21)+COUNTIF('Nursery Sheet'!F$4:F$9,22)</f>
        <v>0</v>
      </c>
      <c r="Y8" s="219" t="e">
        <f>_xlfn.XLOOKUP(W8,TB!A$263:A$269,TB!B$263:B$269)*Z8</f>
        <v>#N/A</v>
      </c>
      <c r="Z8" s="219" t="e">
        <f>IF(Z$1-70&gt;0,0,1)</f>
        <v>#N/A</v>
      </c>
      <c r="AA8" s="339"/>
      <c r="AJ8" s="327"/>
      <c r="AK8" s="219">
        <f t="shared" si="1"/>
        <v>1</v>
      </c>
      <c r="AL8" s="219">
        <f>COUNTIF('Nursery Sheet'!G$4:G$9,21)+COUNTIF('Nursery Sheet'!G$4:G$9,22)</f>
        <v>0</v>
      </c>
      <c r="AM8" s="219" t="e">
        <f>_xlfn.XLOOKUP(AK8,TB!A$263:A$269,TB!C$263:C$269)*AN8</f>
        <v>#N/A</v>
      </c>
      <c r="AN8" s="219" t="e">
        <f>IF(AN$1-80&gt;0,0,1)</f>
        <v>#N/A</v>
      </c>
    </row>
    <row r="9" spans="3:40" x14ac:dyDescent="0.25">
      <c r="M9" s="339"/>
      <c r="V9" s="327"/>
      <c r="W9" s="219">
        <f t="shared" si="0"/>
        <v>1</v>
      </c>
      <c r="X9" s="219">
        <f>COUNTIF('Nursery Sheet'!F$4:F$9,19)+COUNTIF('Nursery Sheet'!F$4:F$9,20)</f>
        <v>0</v>
      </c>
      <c r="Y9" s="219" t="e">
        <f>_xlfn.XLOOKUP(W9,TB!A$263:A$269,TB!B$263:B$269)*Z9</f>
        <v>#N/A</v>
      </c>
      <c r="Z9" s="219" t="e">
        <f>IF(Z$1-80&gt;0,0,1)</f>
        <v>#N/A</v>
      </c>
      <c r="AA9" s="339"/>
      <c r="AJ9" s="327"/>
      <c r="AK9" s="219">
        <f t="shared" si="1"/>
        <v>1</v>
      </c>
      <c r="AL9" s="219">
        <f>COUNTIF('Nursery Sheet'!G$4:G$9,19)+COUNTIF('Nursery Sheet'!G$4:G$9,20)</f>
        <v>0</v>
      </c>
      <c r="AM9" s="219" t="e">
        <f>_xlfn.XLOOKUP(AK9,TB!A$263:A$269,TB!C$263:C$269)*AN9</f>
        <v>#N/A</v>
      </c>
      <c r="AN9" s="219" t="e">
        <f>IF(AN$1-90&gt;0,0,1)</f>
        <v>#N/A</v>
      </c>
    </row>
    <row r="10" spans="3:40" x14ac:dyDescent="0.25">
      <c r="C10" s="214" t="s">
        <v>548</v>
      </c>
      <c r="D10" s="216" t="s">
        <v>549</v>
      </c>
      <c r="E10" s="216" t="s">
        <v>550</v>
      </c>
      <c r="M10" s="339"/>
      <c r="V10" s="327"/>
      <c r="W10" s="219">
        <f t="shared" si="0"/>
        <v>1</v>
      </c>
      <c r="X10" s="219">
        <f>COUNTIF('Nursery Sheet'!F$4:F$9,17)+COUNTIF('Nursery Sheet'!F$4:F$9,18)</f>
        <v>0</v>
      </c>
      <c r="Y10" s="219" t="e">
        <f>_xlfn.XLOOKUP(W10,TB!A$263:A$269,TB!B$263:B$269)*Z10</f>
        <v>#N/A</v>
      </c>
      <c r="Z10" s="219" t="e">
        <f>IF(Z$1-90&gt;0,0,1)</f>
        <v>#N/A</v>
      </c>
      <c r="AA10" s="339"/>
      <c r="AJ10" s="327"/>
      <c r="AK10" s="219">
        <f t="shared" si="1"/>
        <v>1</v>
      </c>
      <c r="AL10" s="219">
        <f>COUNTIF('Nursery Sheet'!G$4:G$9,17)+COUNTIF('Nursery Sheet'!G$4:G$9,18)</f>
        <v>0</v>
      </c>
      <c r="AM10" s="219" t="e">
        <f>_xlfn.XLOOKUP(AK10,TB!A$263:A$269,TB!C$263:C$269)*AN10</f>
        <v>#N/A</v>
      </c>
      <c r="AN10" s="219" t="e">
        <f>IF(AN$1-100&gt;0,0,1)</f>
        <v>#N/A</v>
      </c>
    </row>
    <row r="11" spans="3:40" x14ac:dyDescent="0.25">
      <c r="C11" s="13">
        <v>1</v>
      </c>
      <c r="D11" s="217" t="s">
        <v>551</v>
      </c>
      <c r="E11" s="217" t="s">
        <v>552</v>
      </c>
      <c r="M11" s="339"/>
      <c r="V11" s="327"/>
      <c r="W11" s="219">
        <f t="shared" si="0"/>
        <v>1</v>
      </c>
      <c r="X11" s="219">
        <f>COUNTIF('Nursery Sheet'!F$4:F$9,15)+COUNTIF('Nursery Sheet'!F$4:F$9,16)</f>
        <v>0</v>
      </c>
      <c r="Y11" s="219" t="e">
        <f>_xlfn.XLOOKUP(W11,TB!A$263:A$269,TB!B$263:B$269)*Z11</f>
        <v>#N/A</v>
      </c>
      <c r="Z11" s="219" t="e">
        <f>IF(Z$1-100&gt;0,0,1)</f>
        <v>#N/A</v>
      </c>
      <c r="AA11" s="339"/>
      <c r="AJ11" s="327"/>
      <c r="AK11" s="219">
        <f t="shared" si="1"/>
        <v>1</v>
      </c>
      <c r="AL11" s="219">
        <f>COUNTIF('Nursery Sheet'!G$4:G$9,15)+COUNTIF('Nursery Sheet'!G$4:G$9,16)</f>
        <v>0</v>
      </c>
      <c r="AM11" s="219" t="e">
        <f>_xlfn.XLOOKUP(AK11,TB!A$263:A$269,TB!C$263:C$269)*AN11</f>
        <v>#N/A</v>
      </c>
      <c r="AN11" s="219" t="e">
        <f>IF(AN$1-110&gt;0,0,1)</f>
        <v>#N/A</v>
      </c>
    </row>
    <row r="12" spans="3:40" x14ac:dyDescent="0.25">
      <c r="C12" s="18">
        <v>2</v>
      </c>
      <c r="D12" s="217" t="s">
        <v>553</v>
      </c>
      <c r="E12" s="217" t="s">
        <v>554</v>
      </c>
      <c r="M12" s="339"/>
      <c r="V12" s="327"/>
      <c r="W12" s="219">
        <f t="shared" si="0"/>
        <v>1</v>
      </c>
      <c r="X12" s="219">
        <f>COUNTIF('Nursery Sheet'!F$4:F$9,13)+COUNTIF('Nursery Sheet'!F$4:F$9,14)</f>
        <v>0</v>
      </c>
      <c r="Y12" s="219" t="e">
        <f>_xlfn.XLOOKUP(W12,TB!A$263:A$269,TB!B$263:B$269)*Z12</f>
        <v>#N/A</v>
      </c>
      <c r="Z12" s="219" t="e">
        <f>IF(Z$1-110&gt;0,0,1)</f>
        <v>#N/A</v>
      </c>
      <c r="AA12" s="339"/>
      <c r="AJ12" s="327"/>
      <c r="AK12" s="219">
        <f t="shared" si="1"/>
        <v>1</v>
      </c>
      <c r="AL12" s="219">
        <f>COUNTIF('Nursery Sheet'!G$4:G$9,13)+COUNTIF('Nursery Sheet'!G$4:G$9,14)</f>
        <v>0</v>
      </c>
      <c r="AM12" s="219" t="e">
        <f>_xlfn.XLOOKUP(AK12,TB!A$263:A$269,TB!C$263:C$269)*AN12</f>
        <v>#N/A</v>
      </c>
      <c r="AN12" s="219" t="e">
        <f>IF(AN$1-120&gt;0,0,1)</f>
        <v>#N/A</v>
      </c>
    </row>
    <row r="13" spans="3:40" x14ac:dyDescent="0.25">
      <c r="C13" s="19">
        <v>3</v>
      </c>
      <c r="D13" s="217" t="s">
        <v>555</v>
      </c>
      <c r="E13" s="217" t="s">
        <v>556</v>
      </c>
      <c r="M13" s="339"/>
      <c r="V13" s="327"/>
      <c r="W13" s="219">
        <f t="shared" si="0"/>
        <v>1</v>
      </c>
      <c r="X13" s="219">
        <f>COUNTIF('Nursery Sheet'!F$4:F$9,11)+COUNTIF('Nursery Sheet'!F$4:F$9,12)</f>
        <v>0</v>
      </c>
      <c r="Y13" s="219" t="e">
        <f>_xlfn.XLOOKUP(W13,TB!A$263:A$269,TB!B$263:B$269)*Z13</f>
        <v>#N/A</v>
      </c>
      <c r="Z13" s="219" t="e">
        <f>IF(Z$1-120&gt;0,0,1)</f>
        <v>#N/A</v>
      </c>
      <c r="AA13" s="339"/>
      <c r="AJ13" s="327"/>
      <c r="AK13" s="219">
        <f t="shared" si="1"/>
        <v>1</v>
      </c>
      <c r="AL13" s="219">
        <f>COUNTIF('Nursery Sheet'!G$4:G$9,11)+COUNTIF('Nursery Sheet'!G$4:G$9,12)</f>
        <v>0</v>
      </c>
      <c r="AM13" s="219" t="e">
        <f>_xlfn.XLOOKUP(AK13,TB!A$263:A$269,TB!C$263:C$269)*AN13</f>
        <v>#N/A</v>
      </c>
      <c r="AN13" s="219" t="e">
        <f>IF(AN$1-130&gt;0,0,1)</f>
        <v>#N/A</v>
      </c>
    </row>
    <row r="14" spans="3:40" x14ac:dyDescent="0.25">
      <c r="M14" s="339"/>
      <c r="V14" s="327"/>
      <c r="W14" s="219">
        <f t="shared" si="0"/>
        <v>1</v>
      </c>
      <c r="X14" s="219">
        <f>COUNTIF('Nursery Sheet'!F$4:F$9,9)+COUNTIF('Nursery Sheet'!F$4:F$9,10)</f>
        <v>0</v>
      </c>
      <c r="Y14" s="219" t="e">
        <f>_xlfn.XLOOKUP(W14,TB!A$263:A$269,TB!B$263:B$269)*Z14</f>
        <v>#N/A</v>
      </c>
      <c r="Z14" s="219" t="e">
        <f>IF(Z$1-130&gt;0,0,1)</f>
        <v>#N/A</v>
      </c>
      <c r="AA14" s="339"/>
      <c r="AJ14" s="327"/>
      <c r="AK14" s="219">
        <f t="shared" si="1"/>
        <v>1</v>
      </c>
      <c r="AL14" s="219">
        <f>COUNTIF('Nursery Sheet'!G$4:G$9,9)+COUNTIF('Nursery Sheet'!G$4:G$9,10)</f>
        <v>0</v>
      </c>
      <c r="AM14" s="219" t="e">
        <f>_xlfn.XLOOKUP(AK14,TB!A$263:A$269,TB!C$263:C$269)*AN14</f>
        <v>#N/A</v>
      </c>
      <c r="AN14" s="219" t="e">
        <f>IF(AN$1-140&gt;0,0,1)</f>
        <v>#N/A</v>
      </c>
    </row>
    <row r="15" spans="3:40" x14ac:dyDescent="0.25">
      <c r="C15" s="220"/>
      <c r="D15" s="218" t="s">
        <v>557</v>
      </c>
      <c r="M15" s="339"/>
      <c r="V15" s="327"/>
      <c r="W15" s="219">
        <f t="shared" si="0"/>
        <v>1</v>
      </c>
      <c r="X15" s="219">
        <f>COUNTIF('Nursery Sheet'!F1:F6,7)+COUNTIF('Nursery Sheet'!F$4:F$9,8)</f>
        <v>0</v>
      </c>
      <c r="Y15" s="219" t="e">
        <f>_xlfn.XLOOKUP(W15,TB!A$263:A$269,TB!B$263:B$269)*Z15</f>
        <v>#N/A</v>
      </c>
      <c r="Z15" s="219" t="e">
        <f>IF(Z$1-140&gt;0,0,1)</f>
        <v>#N/A</v>
      </c>
      <c r="AA15" s="339"/>
      <c r="AJ15" s="327"/>
      <c r="AK15" s="219">
        <f t="shared" si="1"/>
        <v>1</v>
      </c>
      <c r="AL15" s="219">
        <f>COUNTIF('Nursery Sheet'!G1:T6,7)+COUNTIF('Nursery Sheet'!G$4:G$9,8)</f>
        <v>0</v>
      </c>
      <c r="AM15" s="219" t="e">
        <f>_xlfn.XLOOKUP(AK15,TB!A$263:A$269,TB!C$263:C$269)*AN15</f>
        <v>#N/A</v>
      </c>
      <c r="AN15" s="219" t="e">
        <f>IF(AN$1-150&gt;0,0,1)</f>
        <v>#N/A</v>
      </c>
    </row>
    <row r="16" spans="3:40" x14ac:dyDescent="0.25">
      <c r="M16" s="339"/>
      <c r="V16" s="327"/>
      <c r="W16" s="219">
        <f t="shared" si="0"/>
        <v>1</v>
      </c>
      <c r="X16" s="340">
        <f>COUNTIF('Nursery Sheet'!F2:F7,5)+COUNTIF('Nursery Sheet'!F$4:F$9,6)</f>
        <v>0</v>
      </c>
      <c r="Y16" s="219" t="e">
        <f>_xlfn.XLOOKUP(W16,TB!A$263:A$269,TB!B$263:B$269)*Z16</f>
        <v>#N/A</v>
      </c>
      <c r="Z16" s="219" t="e">
        <f>IF(Z$1-150&gt;0,0,1)</f>
        <v>#N/A</v>
      </c>
      <c r="AA16" s="339"/>
      <c r="AJ16" s="327"/>
      <c r="AK16" s="219">
        <f t="shared" si="1"/>
        <v>1</v>
      </c>
      <c r="AL16" s="340">
        <f>COUNTIF('Nursery Sheet'!G2:T7,5)+COUNTIF('Nursery Sheet'!G$4:G$9,6)</f>
        <v>0</v>
      </c>
      <c r="AM16" s="219" t="e">
        <f>_xlfn.XLOOKUP(AK16,TB!A$263:A$269,TB!C$263:C$269)*AN16</f>
        <v>#N/A</v>
      </c>
      <c r="AN16" s="219" t="e">
        <f>IF(AN$1-160&gt;0,0,1)</f>
        <v>#N/A</v>
      </c>
    </row>
    <row r="17" spans="1:42" x14ac:dyDescent="0.25">
      <c r="A17" s="388" t="s">
        <v>1014</v>
      </c>
      <c r="B17" s="388"/>
      <c r="C17" s="388"/>
      <c r="D17" s="388"/>
      <c r="E17" s="388"/>
      <c r="F17" s="388"/>
      <c r="G17" s="388"/>
      <c r="H17" s="388"/>
      <c r="I17" s="388"/>
      <c r="M17" s="339"/>
      <c r="V17" s="327"/>
      <c r="W17" s="219">
        <f t="shared" si="0"/>
        <v>1</v>
      </c>
      <c r="X17" s="219">
        <f>COUNTIF('Nursery Sheet'!F3:F8,3)+COUNTIF('Nursery Sheet'!F$4:F$9,4)</f>
        <v>0</v>
      </c>
      <c r="Y17" s="219" t="e">
        <f>_xlfn.XLOOKUP(W17,TB!A$263:A$269,TB!B$263:B$269)*Z17</f>
        <v>#N/A</v>
      </c>
      <c r="Z17" s="219" t="e">
        <f>IF(Z$1-160&gt;0,0,1)</f>
        <v>#N/A</v>
      </c>
      <c r="AA17" s="339"/>
      <c r="AJ17" s="327"/>
      <c r="AK17" s="219">
        <f t="shared" si="1"/>
        <v>1</v>
      </c>
      <c r="AL17" s="219">
        <f>COUNTIF('Nursery Sheet'!G3:T8,3)+COUNTIF('Nursery Sheet'!G$4:G$9,4)</f>
        <v>0</v>
      </c>
      <c r="AM17" s="219" t="e">
        <f>_xlfn.XLOOKUP(AK17,TB!A$263:A$269,TB!C$263:C$269)*AN17</f>
        <v>#N/A</v>
      </c>
      <c r="AN17" s="219" t="e">
        <f>IF(AN$1-170&gt;0,0,1)</f>
        <v>#N/A</v>
      </c>
    </row>
    <row r="18" spans="1:42" x14ac:dyDescent="0.25">
      <c r="A18" s="388"/>
      <c r="B18" s="388"/>
      <c r="C18" s="388"/>
      <c r="D18" s="388"/>
      <c r="E18" s="388"/>
      <c r="F18" s="388"/>
      <c r="G18" s="388"/>
      <c r="H18" s="388"/>
      <c r="I18" s="388"/>
      <c r="M18" s="339"/>
      <c r="V18" s="327"/>
      <c r="W18" s="219">
        <f>X19+W19</f>
        <v>1</v>
      </c>
      <c r="X18" s="219">
        <f>COUNTIF('Nursery Sheet'!F4:F9,1)+COUNTIF('Nursery Sheet'!F$4:F$9,2)</f>
        <v>0</v>
      </c>
      <c r="Y18" s="219">
        <f>_xlfn.XLOOKUP(W18,TB!A$263:A$269,TB!B$263:B$269)*Z18</f>
        <v>0</v>
      </c>
      <c r="Z18" s="219">
        <v>1</v>
      </c>
      <c r="AA18" s="339"/>
      <c r="AJ18" s="327"/>
      <c r="AK18" s="219">
        <f>AL19+AK19</f>
        <v>1</v>
      </c>
      <c r="AL18" s="219">
        <f>COUNTIF('Nursery Sheet'!G4:T9,1)+COUNTIF('Nursery Sheet'!G$4:G$9,2)</f>
        <v>0</v>
      </c>
      <c r="AM18" s="219">
        <f>_xlfn.XLOOKUP(AK18,TB!A$263:A$269,TB!C$263:C$269)*AN18</f>
        <v>0</v>
      </c>
      <c r="AN18" s="219">
        <v>1</v>
      </c>
    </row>
    <row r="19" spans="1:42" x14ac:dyDescent="0.25">
      <c r="M19" s="339"/>
      <c r="V19" s="327"/>
      <c r="W19" s="219">
        <v>1</v>
      </c>
      <c r="X19" s="219"/>
      <c r="Y19" s="219">
        <f>_xlfn.XLOOKUP(W19,TB!A$263:A$269,TB!B$263:B$269)*Z19</f>
        <v>0</v>
      </c>
      <c r="Z19" s="219">
        <v>1</v>
      </c>
      <c r="AA19" s="339"/>
      <c r="AJ19" s="327"/>
      <c r="AK19" s="219">
        <v>1</v>
      </c>
      <c r="AL19" s="219"/>
      <c r="AM19" s="219">
        <f>_xlfn.XLOOKUP(AK19,TB!A$263:A$269,TB!C$263:C$269)*AN19</f>
        <v>0</v>
      </c>
      <c r="AN19" s="219">
        <v>1</v>
      </c>
    </row>
    <row r="20" spans="1:42" ht="42.75" customHeight="1" x14ac:dyDescent="0.25">
      <c r="A20" s="1" t="s">
        <v>1013</v>
      </c>
      <c r="B20" s="1"/>
      <c r="C20" s="1"/>
      <c r="D20" s="1"/>
      <c r="E20" s="1"/>
      <c r="F20" s="179"/>
      <c r="G20" s="1"/>
      <c r="H20" s="1"/>
      <c r="I20" s="1"/>
      <c r="J20" s="1"/>
      <c r="K20" s="1"/>
      <c r="M20" s="27"/>
      <c r="N20" s="27"/>
      <c r="O20" s="27"/>
      <c r="P20" s="27"/>
      <c r="Q20" s="27"/>
      <c r="R20" s="27"/>
      <c r="S20" s="27"/>
      <c r="T20" s="27"/>
      <c r="U20" s="27"/>
      <c r="V20" s="27"/>
      <c r="AA20" s="27"/>
      <c r="AB20" s="27"/>
      <c r="AC20" s="27"/>
      <c r="AD20" s="27"/>
      <c r="AE20" s="27"/>
      <c r="AF20" s="27"/>
      <c r="AG20" s="27"/>
      <c r="AH20" s="27"/>
      <c r="AI20" s="27"/>
      <c r="AJ20" s="27"/>
    </row>
    <row r="21" spans="1:42" ht="28.5" x14ac:dyDescent="0.25">
      <c r="A21" s="67" t="s">
        <v>565</v>
      </c>
      <c r="B21" s="68"/>
      <c r="C21" s="68"/>
      <c r="D21" s="68"/>
      <c r="E21" s="68"/>
      <c r="F21" s="68"/>
      <c r="G21" s="68"/>
      <c r="H21" s="68"/>
      <c r="I21" s="68"/>
      <c r="J21" s="68"/>
      <c r="K21" s="68"/>
      <c r="L21" s="68"/>
      <c r="M21" s="354"/>
      <c r="N21" s="354"/>
      <c r="O21" s="355"/>
      <c r="P21" s="355"/>
      <c r="Q21" s="355"/>
      <c r="R21" s="355"/>
      <c r="S21" s="355"/>
      <c r="T21" s="355"/>
      <c r="U21" s="355"/>
      <c r="V21" s="355"/>
      <c r="W21" s="355"/>
      <c r="X21" s="355"/>
      <c r="Y21" s="355"/>
      <c r="Z21" s="355"/>
      <c r="AA21" s="355"/>
      <c r="AB21" s="355"/>
      <c r="AC21" s="355"/>
      <c r="AD21" s="355"/>
      <c r="AE21" s="355"/>
      <c r="AF21" s="355"/>
      <c r="AG21" s="355"/>
      <c r="AH21" s="355">
        <f>COUNT(AF27:AF93)</f>
        <v>3</v>
      </c>
      <c r="AI21" s="355">
        <f>ROUNDDOWN((U25-1)/AH21,0)</f>
        <v>0</v>
      </c>
      <c r="AJ21" s="355">
        <f>ROUNDDOWN((U24-1)/(AH21+AH22),0)</f>
        <v>0</v>
      </c>
      <c r="AK21" s="219"/>
      <c r="AL21" s="219"/>
      <c r="AM21" s="399"/>
      <c r="AN21" s="399"/>
      <c r="AO21" s="399"/>
      <c r="AP21" s="399"/>
    </row>
    <row r="22" spans="1:42" ht="15" customHeight="1" x14ac:dyDescent="0.25">
      <c r="A22" s="368" t="s">
        <v>0</v>
      </c>
      <c r="B22" s="369"/>
      <c r="C22" s="374" t="s">
        <v>165</v>
      </c>
      <c r="D22" s="375"/>
      <c r="E22" s="376"/>
      <c r="F22" s="201" t="s">
        <v>281</v>
      </c>
      <c r="G22" s="380" t="s">
        <v>495</v>
      </c>
      <c r="H22" s="203" t="s">
        <v>3</v>
      </c>
      <c r="I22" s="203" t="s">
        <v>4</v>
      </c>
      <c r="J22" s="380" t="s">
        <v>323</v>
      </c>
      <c r="K22" s="380" t="s">
        <v>5</v>
      </c>
      <c r="L22" s="384" t="s">
        <v>6</v>
      </c>
      <c r="M22" s="356" t="s">
        <v>2</v>
      </c>
      <c r="N22" s="357" t="s">
        <v>729</v>
      </c>
      <c r="O22" s="355" t="s">
        <v>712</v>
      </c>
      <c r="P22" s="355" t="s">
        <v>558</v>
      </c>
      <c r="Q22" s="355"/>
      <c r="R22" s="355" t="s">
        <v>559</v>
      </c>
      <c r="S22" s="355" t="s">
        <v>613</v>
      </c>
      <c r="T22" s="355" t="s">
        <v>614</v>
      </c>
      <c r="U22" s="355" t="s">
        <v>561</v>
      </c>
      <c r="V22" s="355"/>
      <c r="W22" s="355" t="s">
        <v>563</v>
      </c>
      <c r="X22" s="355" t="s">
        <v>564</v>
      </c>
      <c r="Y22" s="355"/>
      <c r="Z22" s="386" t="s">
        <v>594</v>
      </c>
      <c r="AA22" s="386"/>
      <c r="AB22" s="386"/>
      <c r="AC22" s="355"/>
      <c r="AD22" s="355"/>
      <c r="AE22" s="355"/>
      <c r="AF22" s="355"/>
      <c r="AG22" s="355"/>
      <c r="AH22" s="355">
        <f>COUNT(AG27:AG93)</f>
        <v>30</v>
      </c>
      <c r="AI22" s="355">
        <f>ROUNDDOWN((U26-1)/AH22,0)</f>
        <v>0</v>
      </c>
      <c r="AJ22" s="219"/>
      <c r="AK22" s="219"/>
      <c r="AL22" s="219"/>
      <c r="AM22" s="399"/>
      <c r="AN22" s="399"/>
      <c r="AO22" s="399"/>
      <c r="AP22" s="399"/>
    </row>
    <row r="23" spans="1:42" x14ac:dyDescent="0.25">
      <c r="A23" s="370"/>
      <c r="B23" s="371"/>
      <c r="C23" s="377"/>
      <c r="D23" s="378"/>
      <c r="E23" s="379"/>
      <c r="F23" s="202" t="s">
        <v>386</v>
      </c>
      <c r="G23" s="381"/>
      <c r="H23" s="204" t="s">
        <v>8</v>
      </c>
      <c r="I23" s="204" t="s">
        <v>9</v>
      </c>
      <c r="J23" s="381"/>
      <c r="K23" s="381"/>
      <c r="L23" s="385"/>
      <c r="M23" s="356" t="s">
        <v>7</v>
      </c>
      <c r="N23" s="357"/>
      <c r="O23" s="355"/>
      <c r="P23" s="355"/>
      <c r="Q23" s="355"/>
      <c r="R23" s="355"/>
      <c r="S23" s="355"/>
      <c r="T23" s="355"/>
      <c r="U23" s="355"/>
      <c r="V23" s="355"/>
      <c r="W23" s="355"/>
      <c r="X23" s="355"/>
      <c r="Y23" s="355"/>
      <c r="Z23" s="355" t="s">
        <v>595</v>
      </c>
      <c r="AA23" s="355" t="s">
        <v>596</v>
      </c>
      <c r="AB23" s="355" t="s">
        <v>597</v>
      </c>
      <c r="AC23" s="355" t="s">
        <v>598</v>
      </c>
      <c r="AD23" s="355" t="s">
        <v>599</v>
      </c>
      <c r="AE23" s="355" t="s">
        <v>600</v>
      </c>
      <c r="AF23" s="355" t="s">
        <v>601</v>
      </c>
      <c r="AG23" s="355" t="s">
        <v>602</v>
      </c>
      <c r="AH23" s="355" t="s">
        <v>603</v>
      </c>
      <c r="AI23" s="355"/>
      <c r="AJ23" s="219"/>
      <c r="AK23" s="219"/>
      <c r="AL23" s="219"/>
      <c r="AM23" s="399"/>
      <c r="AN23" s="399"/>
      <c r="AO23" s="399"/>
      <c r="AP23" s="399"/>
    </row>
    <row r="24" spans="1:42" x14ac:dyDescent="0.25">
      <c r="A24" s="330"/>
      <c r="B24" s="48" t="s">
        <v>10</v>
      </c>
      <c r="C24" s="146" t="s">
        <v>11</v>
      </c>
      <c r="D24" s="147"/>
      <c r="E24" s="43"/>
      <c r="F24" s="43"/>
      <c r="G24" s="43"/>
      <c r="H24" s="41"/>
      <c r="I24" s="41"/>
      <c r="J24" s="49" t="s">
        <v>12</v>
      </c>
      <c r="K24" s="40" t="s">
        <v>13</v>
      </c>
      <c r="L24" s="39"/>
      <c r="M24" s="358"/>
      <c r="N24" s="355"/>
      <c r="O24" s="355"/>
      <c r="P24" s="355"/>
      <c r="Q24" s="355"/>
      <c r="R24" s="355"/>
      <c r="S24" s="355"/>
      <c r="T24" s="355"/>
      <c r="U24" s="355">
        <f t="shared" ref="U24:U26" si="2">A24</f>
        <v>0</v>
      </c>
      <c r="V24" s="355"/>
      <c r="W24" s="355"/>
      <c r="X24" s="355"/>
      <c r="Y24" s="355"/>
      <c r="Z24" s="355"/>
      <c r="AA24" s="355"/>
      <c r="AB24" s="355"/>
      <c r="AC24" s="355"/>
      <c r="AD24" s="355"/>
      <c r="AE24" s="355"/>
      <c r="AF24" s="355"/>
      <c r="AG24" s="355"/>
      <c r="AH24" s="355"/>
      <c r="AI24" s="355"/>
      <c r="AJ24" s="219"/>
      <c r="AK24" s="219"/>
      <c r="AL24" s="219"/>
      <c r="AM24" s="399"/>
      <c r="AN24" s="399"/>
      <c r="AO24" s="399"/>
      <c r="AP24" s="399"/>
    </row>
    <row r="25" spans="1:42" x14ac:dyDescent="0.25">
      <c r="A25" s="330"/>
      <c r="B25" s="48" t="s">
        <v>10</v>
      </c>
      <c r="C25" s="148" t="s">
        <v>14</v>
      </c>
      <c r="D25" s="149"/>
      <c r="E25" s="44"/>
      <c r="F25" s="44"/>
      <c r="G25" s="44"/>
      <c r="H25" s="39"/>
      <c r="I25" s="39"/>
      <c r="J25" s="50" t="s">
        <v>15</v>
      </c>
      <c r="K25" s="40">
        <v>1</v>
      </c>
      <c r="L25" s="39"/>
      <c r="M25" s="358"/>
      <c r="N25" s="355"/>
      <c r="O25" s="355"/>
      <c r="P25" s="355"/>
      <c r="Q25" s="355"/>
      <c r="R25" s="355"/>
      <c r="S25" s="355"/>
      <c r="T25" s="355"/>
      <c r="U25" s="355">
        <f t="shared" si="2"/>
        <v>0</v>
      </c>
      <c r="V25" s="355"/>
      <c r="W25" s="355"/>
      <c r="X25" s="355"/>
      <c r="Y25" s="355"/>
      <c r="Z25" s="355"/>
      <c r="AA25" s="355"/>
      <c r="AB25" s="355"/>
      <c r="AC25" s="355"/>
      <c r="AD25" s="355"/>
      <c r="AE25" s="355"/>
      <c r="AF25" s="355"/>
      <c r="AG25" s="355"/>
      <c r="AH25" s="355"/>
      <c r="AI25" s="355"/>
      <c r="AJ25" s="219"/>
      <c r="AK25" s="219"/>
      <c r="AL25" s="219"/>
      <c r="AM25" s="399"/>
      <c r="AN25" s="399"/>
      <c r="AO25" s="399"/>
      <c r="AP25" s="399"/>
    </row>
    <row r="26" spans="1:42" x14ac:dyDescent="0.25">
      <c r="A26" s="330"/>
      <c r="B26" s="48" t="s">
        <v>10</v>
      </c>
      <c r="C26" s="148" t="s">
        <v>16</v>
      </c>
      <c r="D26" s="149"/>
      <c r="E26" s="44"/>
      <c r="F26" s="44"/>
      <c r="G26" s="100"/>
      <c r="H26" s="39"/>
      <c r="I26" s="39"/>
      <c r="J26" s="50" t="s">
        <v>17</v>
      </c>
      <c r="K26" s="40" t="s">
        <v>18</v>
      </c>
      <c r="L26" s="39"/>
      <c r="M26" s="358"/>
      <c r="N26" s="355"/>
      <c r="O26" s="355"/>
      <c r="P26" s="355"/>
      <c r="Q26" s="355"/>
      <c r="R26" s="355"/>
      <c r="S26" s="355"/>
      <c r="T26" s="355"/>
      <c r="U26" s="355">
        <f t="shared" si="2"/>
        <v>0</v>
      </c>
      <c r="V26" s="355"/>
      <c r="W26" s="355"/>
      <c r="X26" s="355"/>
      <c r="Y26" s="355"/>
      <c r="Z26" s="355"/>
      <c r="AA26" s="355"/>
      <c r="AB26" s="355"/>
      <c r="AC26" s="355"/>
      <c r="AD26" s="355"/>
      <c r="AE26" s="355"/>
      <c r="AF26" s="355"/>
      <c r="AG26" s="355"/>
      <c r="AH26" s="355"/>
      <c r="AI26" s="355"/>
      <c r="AJ26" s="219"/>
      <c r="AK26" s="219"/>
      <c r="AL26" s="219"/>
      <c r="AM26" s="399"/>
      <c r="AN26" s="399"/>
      <c r="AO26" s="399"/>
      <c r="AP26" s="399"/>
    </row>
    <row r="27" spans="1:42" x14ac:dyDescent="0.25">
      <c r="A27" s="331"/>
      <c r="B27" s="48" t="s">
        <v>10</v>
      </c>
      <c r="C27" s="78" t="s">
        <v>20</v>
      </c>
      <c r="D27" s="79"/>
      <c r="E27" s="80" t="s">
        <v>21</v>
      </c>
      <c r="F27" s="180" t="s">
        <v>387</v>
      </c>
      <c r="G27" s="176">
        <v>8713469104258</v>
      </c>
      <c r="H27" s="18">
        <v>2</v>
      </c>
      <c r="I27" s="18">
        <v>2</v>
      </c>
      <c r="J27" s="22" t="s">
        <v>22</v>
      </c>
      <c r="K27" s="5" t="s">
        <v>18</v>
      </c>
      <c r="L27" s="200"/>
      <c r="M27" s="356" t="s">
        <v>19</v>
      </c>
      <c r="N27" s="354" t="s">
        <v>730</v>
      </c>
      <c r="O27" s="355">
        <v>38</v>
      </c>
      <c r="P27" s="355">
        <v>7.0999999999999994E-2</v>
      </c>
      <c r="Q27" s="355"/>
      <c r="R27" s="355">
        <v>30</v>
      </c>
      <c r="S27" s="355" t="s">
        <v>562</v>
      </c>
      <c r="T27" s="355" t="s">
        <v>562</v>
      </c>
      <c r="U27" s="355">
        <f t="shared" ref="U27:U60" si="3">A27+AH27</f>
        <v>0</v>
      </c>
      <c r="V27" s="355"/>
      <c r="W27" s="355">
        <f>IF(U27&gt;0,1,0)</f>
        <v>0</v>
      </c>
      <c r="X27" s="355">
        <f>IF(U27&gt;0,1,0)</f>
        <v>0</v>
      </c>
      <c r="Y27" s="355"/>
      <c r="Z27" s="359">
        <f>IF(AD27&lt;&gt;"YES",H27*1.5+I27+AC27,"")</f>
        <v>5.0010000000000003</v>
      </c>
      <c r="AA27" s="359" t="str">
        <f t="shared" ref="AA27:AA76" si="4">IF(K27=1,Z27,"")</f>
        <v/>
      </c>
      <c r="AB27" s="359">
        <f>IF(K27&lt;&gt;1,Z27,"")</f>
        <v>5.0010000000000003</v>
      </c>
      <c r="AC27" s="355">
        <v>1E-3</v>
      </c>
      <c r="AD27" s="355" t="str">
        <f t="shared" ref="AD27:AD76" si="5">IF(M27="N","YES","")</f>
        <v/>
      </c>
      <c r="AE27" s="355">
        <f>IFERROR(RANK(Z27,Z$27:Z$76,1),"")</f>
        <v>19</v>
      </c>
      <c r="AF27" s="355" t="str">
        <f t="shared" ref="AF27:AG27" si="6">IFERROR(RANK(AA27,AA$27:AA$76,1),"")</f>
        <v/>
      </c>
      <c r="AG27" s="355">
        <f t="shared" si="6"/>
        <v>19</v>
      </c>
      <c r="AH27" s="355">
        <f t="shared" ref="AH27:AH76" si="7">IF(AND(U$24&lt;&gt;"",AE27&lt;&gt;""),IF(AE27&lt;=U$24-(AH$21+AH$22)*AJ$21,1+AJ$21,AJ$21),0)+IF(AND(U$25&lt;&gt;"",AF27&lt;&gt;""),IF(AF27&lt;=U$25-AH$21*AI$21,1+AI$21,AI$21),0)+IF(AND(U$26&lt;&gt;"",AG27&lt;&gt;""),IF(AG27&lt;=U$26-AH$22*AI$22,1+AI$22,AI$22),0)</f>
        <v>0</v>
      </c>
      <c r="AI27" s="355"/>
      <c r="AJ27" s="219"/>
      <c r="AK27" s="219"/>
      <c r="AL27" s="219"/>
      <c r="AM27" s="399"/>
      <c r="AN27" s="399"/>
      <c r="AO27" s="399"/>
      <c r="AP27" s="399"/>
    </row>
    <row r="28" spans="1:42" x14ac:dyDescent="0.25">
      <c r="A28" s="331"/>
      <c r="B28" s="48" t="s">
        <v>10</v>
      </c>
      <c r="C28" s="81" t="s">
        <v>1017</v>
      </c>
      <c r="D28" s="82"/>
      <c r="E28" s="80" t="s">
        <v>464</v>
      </c>
      <c r="F28" s="180" t="s">
        <v>387</v>
      </c>
      <c r="G28" s="176">
        <v>8713469104258</v>
      </c>
      <c r="H28" s="18">
        <v>2</v>
      </c>
      <c r="I28" s="13">
        <v>1</v>
      </c>
      <c r="J28" s="22" t="s">
        <v>25</v>
      </c>
      <c r="K28" s="5" t="s">
        <v>26</v>
      </c>
      <c r="L28" s="200"/>
      <c r="M28" s="356" t="s">
        <v>19</v>
      </c>
      <c r="N28" s="354" t="s">
        <v>731</v>
      </c>
      <c r="O28" s="355">
        <v>39</v>
      </c>
      <c r="P28" s="355">
        <v>7.0999999999999994E-2</v>
      </c>
      <c r="Q28" s="355"/>
      <c r="R28" s="355">
        <v>30</v>
      </c>
      <c r="S28" s="355" t="s">
        <v>562</v>
      </c>
      <c r="T28" s="355" t="s">
        <v>562</v>
      </c>
      <c r="U28" s="355">
        <f t="shared" ref="U28:U29" si="8">A28</f>
        <v>0</v>
      </c>
      <c r="V28" s="355"/>
      <c r="W28" s="360" t="str">
        <f>IF(U28=0,"",COUNTIF(W$27:W27,"&gt;0")+1)</f>
        <v/>
      </c>
      <c r="X28" s="360" t="str">
        <f>IF(U28=0,"",COUNTIF(X$27:X27,"&gt;0")+1)</f>
        <v/>
      </c>
      <c r="Y28" s="355"/>
      <c r="Z28" s="359">
        <f t="shared" ref="Z28:Z29" si="9">IF(AD28&lt;&gt;"YES",H28*1.5+I28+AC28,"")</f>
        <v>4.0019999999999998</v>
      </c>
      <c r="AA28" s="359" t="str">
        <f t="shared" ref="AA28:AA29" si="10">IF(K28=1,Z28,"")</f>
        <v/>
      </c>
      <c r="AB28" s="359">
        <f t="shared" ref="AB28:AB29" si="11">IF(K28&lt;&gt;1,Z28,"")</f>
        <v>4.0019999999999998</v>
      </c>
      <c r="AC28" s="355">
        <v>2E-3</v>
      </c>
      <c r="AD28" s="355" t="str">
        <f t="shared" ref="AD28:AD29" si="12">IF(M28="N","YES","")</f>
        <v/>
      </c>
      <c r="AE28" s="355">
        <f t="shared" ref="AE28:AE29" si="13">IFERROR(RANK(Z28,Z$27:Z$76,1),"")</f>
        <v>15</v>
      </c>
      <c r="AF28" s="355" t="str">
        <f t="shared" ref="AF28:AF29" si="14">IFERROR(RANK(AA28,AA$27:AA$76,1),"")</f>
        <v/>
      </c>
      <c r="AG28" s="355">
        <f t="shared" ref="AG28:AG29" si="15">IFERROR(RANK(AB28,AB$27:AB$76,1),"")</f>
        <v>15</v>
      </c>
      <c r="AH28" s="355">
        <f t="shared" ref="AH28:AH29" si="16">IF(AND(U$24&lt;&gt;"",AE28&lt;&gt;""),IF(AE28&lt;=U$24-(AH$21+AH$22)*AJ$21,1+AJ$21,AJ$21),0)+IF(AND(U$25&lt;&gt;"",AF28&lt;&gt;""),IF(AF28&lt;=U$25-AH$21*AI$21,1+AI$21,AI$21),0)+IF(AND(U$26&lt;&gt;"",AG28&lt;&gt;""),IF(AG28&lt;=U$26-AH$22*AI$22,1+AI$22,AI$22),0)</f>
        <v>0</v>
      </c>
      <c r="AI28" s="355"/>
      <c r="AJ28" s="219"/>
      <c r="AK28" s="219"/>
      <c r="AL28" s="219"/>
      <c r="AM28" s="399"/>
      <c r="AN28" s="399"/>
      <c r="AO28" s="399"/>
      <c r="AP28" s="399"/>
    </row>
    <row r="29" spans="1:42" x14ac:dyDescent="0.25">
      <c r="A29" s="331"/>
      <c r="B29" s="48" t="s">
        <v>10</v>
      </c>
      <c r="C29" s="81" t="s">
        <v>963</v>
      </c>
      <c r="D29" s="82"/>
      <c r="E29" s="80" t="s">
        <v>1016</v>
      </c>
      <c r="F29" s="180" t="s">
        <v>387</v>
      </c>
      <c r="G29" s="176">
        <v>8713469104258</v>
      </c>
      <c r="H29" s="18">
        <v>2</v>
      </c>
      <c r="I29" s="13">
        <v>1</v>
      </c>
      <c r="J29" s="22"/>
      <c r="K29" s="5" t="s">
        <v>26</v>
      </c>
      <c r="L29" s="200"/>
      <c r="M29" s="356" t="s">
        <v>19</v>
      </c>
      <c r="N29" s="354" t="s">
        <v>1018</v>
      </c>
      <c r="O29" s="355">
        <v>40</v>
      </c>
      <c r="P29" s="355">
        <v>7.0999999999999994E-2</v>
      </c>
      <c r="Q29" s="355"/>
      <c r="R29" s="355">
        <v>30</v>
      </c>
      <c r="S29" s="355" t="s">
        <v>562</v>
      </c>
      <c r="T29" s="355" t="s">
        <v>562</v>
      </c>
      <c r="U29" s="355">
        <f t="shared" si="8"/>
        <v>0</v>
      </c>
      <c r="V29" s="355"/>
      <c r="W29" s="360" t="str">
        <f>IF(U29=0,"",COUNTIF(W$27:W28,"&gt;0")+1)</f>
        <v/>
      </c>
      <c r="X29" s="360" t="str">
        <f>IF(U29=0,"",COUNTIF(X$27:X28,"&gt;0")+1)</f>
        <v/>
      </c>
      <c r="Y29" s="355"/>
      <c r="Z29" s="359">
        <f t="shared" si="9"/>
        <v>4.0030000000000001</v>
      </c>
      <c r="AA29" s="359" t="str">
        <f t="shared" si="10"/>
        <v/>
      </c>
      <c r="AB29" s="359">
        <f t="shared" si="11"/>
        <v>4.0030000000000001</v>
      </c>
      <c r="AC29" s="355">
        <v>3.0000000000000001E-3</v>
      </c>
      <c r="AD29" s="355" t="str">
        <f t="shared" si="12"/>
        <v/>
      </c>
      <c r="AE29" s="355">
        <f t="shared" si="13"/>
        <v>16</v>
      </c>
      <c r="AF29" s="355" t="str">
        <f t="shared" si="14"/>
        <v/>
      </c>
      <c r="AG29" s="355">
        <f t="shared" si="15"/>
        <v>16</v>
      </c>
      <c r="AH29" s="355">
        <f t="shared" si="16"/>
        <v>0</v>
      </c>
      <c r="AI29" s="355"/>
      <c r="AJ29" s="219"/>
      <c r="AK29" s="219"/>
      <c r="AL29" s="219"/>
      <c r="AM29" s="399"/>
      <c r="AN29" s="399"/>
      <c r="AO29" s="399"/>
      <c r="AP29" s="399"/>
    </row>
    <row r="30" spans="1:42" hidden="1" x14ac:dyDescent="0.25">
      <c r="A30" s="331"/>
      <c r="B30" s="48" t="s">
        <v>10</v>
      </c>
      <c r="C30" s="78" t="s">
        <v>31</v>
      </c>
      <c r="D30" s="79"/>
      <c r="E30" s="80" t="s">
        <v>32</v>
      </c>
      <c r="F30" s="180" t="s">
        <v>387</v>
      </c>
      <c r="G30" s="176">
        <v>8713469103145</v>
      </c>
      <c r="H30" s="18">
        <v>2</v>
      </c>
      <c r="I30" s="13">
        <v>1</v>
      </c>
      <c r="J30" s="22" t="s">
        <v>33</v>
      </c>
      <c r="K30" s="5" t="s">
        <v>13</v>
      </c>
      <c r="L30" s="200" t="s">
        <v>23</v>
      </c>
      <c r="M30" s="356" t="s">
        <v>30</v>
      </c>
      <c r="N30" s="354" t="s">
        <v>732</v>
      </c>
      <c r="O30" s="355"/>
      <c r="P30" s="355">
        <v>7.0999999999999994E-2</v>
      </c>
      <c r="Q30" s="355"/>
      <c r="R30" s="355">
        <v>30</v>
      </c>
      <c r="S30" s="355" t="s">
        <v>562</v>
      </c>
      <c r="T30" s="355" t="s">
        <v>562</v>
      </c>
      <c r="U30" s="355">
        <f t="shared" si="3"/>
        <v>0</v>
      </c>
      <c r="V30" s="355"/>
      <c r="W30" s="360" t="str">
        <f>IF(U30=0,"",COUNTIF(W$27:W29,"&gt;0")+1)</f>
        <v/>
      </c>
      <c r="X30" s="360" t="str">
        <f>IF(U30=0,"",COUNTIF(X$27:X29,"&gt;0")+1)</f>
        <v/>
      </c>
      <c r="Y30" s="355"/>
      <c r="Z30" s="359" t="str">
        <f t="shared" ref="Z30:Z76" si="17">IF(AD30&lt;&gt;"YES",H30*1.5+I30+AC30,"")</f>
        <v/>
      </c>
      <c r="AA30" s="359" t="str">
        <f t="shared" si="4"/>
        <v/>
      </c>
      <c r="AB30" s="359" t="str">
        <f t="shared" ref="AB30:AB76" si="18">IF(K30&lt;&gt;1,Z30,"")</f>
        <v/>
      </c>
      <c r="AC30" s="355">
        <v>4.0000000000000001E-3</v>
      </c>
      <c r="AD30" s="355" t="str">
        <f t="shared" si="5"/>
        <v>YES</v>
      </c>
      <c r="AE30" s="355" t="str">
        <f t="shared" ref="AE30:AE76" si="19">IFERROR(RANK(Z30,Z$27:Z$76,1),"")</f>
        <v/>
      </c>
      <c r="AF30" s="355" t="str">
        <f t="shared" ref="AF30:AF76" si="20">IFERROR(RANK(AA30,AA$27:AA$76,1),"")</f>
        <v/>
      </c>
      <c r="AG30" s="355" t="str">
        <f t="shared" ref="AG30:AG76" si="21">IFERROR(RANK(AB30,AB$27:AB$76,1),"")</f>
        <v/>
      </c>
      <c r="AH30" s="355">
        <f t="shared" si="7"/>
        <v>0</v>
      </c>
      <c r="AI30" s="355"/>
      <c r="AJ30" s="219"/>
      <c r="AK30" s="219"/>
      <c r="AL30" s="219"/>
      <c r="AM30" s="399"/>
      <c r="AN30" s="399"/>
      <c r="AO30" s="399"/>
      <c r="AP30" s="399"/>
    </row>
    <row r="31" spans="1:42" hidden="1" x14ac:dyDescent="0.25">
      <c r="A31" s="331"/>
      <c r="B31" s="48" t="s">
        <v>10</v>
      </c>
      <c r="C31" s="78" t="s">
        <v>34</v>
      </c>
      <c r="D31" s="79"/>
      <c r="E31" s="80" t="s">
        <v>35</v>
      </c>
      <c r="F31" s="180" t="s">
        <v>387</v>
      </c>
      <c r="G31" s="176">
        <v>8713469104340</v>
      </c>
      <c r="H31" s="13">
        <v>1</v>
      </c>
      <c r="I31" s="13">
        <v>1</v>
      </c>
      <c r="J31" s="22" t="s">
        <v>36</v>
      </c>
      <c r="K31" s="5" t="s">
        <v>18</v>
      </c>
      <c r="L31" s="200" t="s">
        <v>23</v>
      </c>
      <c r="M31" s="356" t="s">
        <v>30</v>
      </c>
      <c r="N31" s="354" t="s">
        <v>734</v>
      </c>
      <c r="O31" s="355"/>
      <c r="P31" s="355">
        <v>7.0999999999999994E-2</v>
      </c>
      <c r="Q31" s="355"/>
      <c r="R31" s="355">
        <v>30</v>
      </c>
      <c r="S31" s="355" t="s">
        <v>562</v>
      </c>
      <c r="T31" s="355" t="s">
        <v>562</v>
      </c>
      <c r="U31" s="355">
        <f>A31+AH31</f>
        <v>0</v>
      </c>
      <c r="V31" s="355"/>
      <c r="W31" s="360" t="str">
        <f>IF(U31=0,"",COUNTIF(W$27:W30,"&gt;0")+1)</f>
        <v/>
      </c>
      <c r="X31" s="360" t="str">
        <f>IF(U31=0,"",COUNTIF(X$27:X30,"&gt;0")+1)</f>
        <v/>
      </c>
      <c r="Y31" s="355"/>
      <c r="Z31" s="359" t="str">
        <f t="shared" si="17"/>
        <v/>
      </c>
      <c r="AA31" s="359" t="str">
        <f t="shared" si="4"/>
        <v/>
      </c>
      <c r="AB31" s="359" t="str">
        <f t="shared" si="18"/>
        <v/>
      </c>
      <c r="AC31" s="355">
        <v>5.0000000000000001E-3</v>
      </c>
      <c r="AD31" s="355" t="str">
        <f t="shared" si="5"/>
        <v>YES</v>
      </c>
      <c r="AE31" s="355" t="str">
        <f t="shared" si="19"/>
        <v/>
      </c>
      <c r="AF31" s="355" t="str">
        <f t="shared" si="20"/>
        <v/>
      </c>
      <c r="AG31" s="355" t="str">
        <f t="shared" si="21"/>
        <v/>
      </c>
      <c r="AH31" s="355">
        <f t="shared" si="7"/>
        <v>0</v>
      </c>
      <c r="AI31" s="355"/>
      <c r="AJ31" s="219"/>
      <c r="AK31" s="219"/>
      <c r="AL31" s="219"/>
      <c r="AM31" s="399"/>
      <c r="AN31" s="399"/>
      <c r="AO31" s="399"/>
      <c r="AP31" s="399"/>
    </row>
    <row r="32" spans="1:42" x14ac:dyDescent="0.25">
      <c r="A32" s="331"/>
      <c r="B32" s="48" t="s">
        <v>10</v>
      </c>
      <c r="C32" s="78" t="s">
        <v>37</v>
      </c>
      <c r="D32" s="79"/>
      <c r="E32" s="80" t="s">
        <v>38</v>
      </c>
      <c r="F32" s="180" t="s">
        <v>389</v>
      </c>
      <c r="G32" s="176">
        <v>8713469104371</v>
      </c>
      <c r="H32" s="13">
        <v>1</v>
      </c>
      <c r="I32" s="13">
        <v>1</v>
      </c>
      <c r="J32" s="22" t="s">
        <v>39</v>
      </c>
      <c r="K32" s="5" t="s">
        <v>26</v>
      </c>
      <c r="L32" s="200" t="s">
        <v>23</v>
      </c>
      <c r="M32" s="356" t="s">
        <v>19</v>
      </c>
      <c r="N32" s="354" t="s">
        <v>735</v>
      </c>
      <c r="O32" s="355">
        <v>70</v>
      </c>
      <c r="P32" s="355">
        <v>7.0999999999999994E-2</v>
      </c>
      <c r="Q32" s="355"/>
      <c r="R32" s="355">
        <v>40</v>
      </c>
      <c r="S32" s="355" t="s">
        <v>562</v>
      </c>
      <c r="T32" s="355" t="s">
        <v>562</v>
      </c>
      <c r="U32" s="355">
        <f t="shared" si="3"/>
        <v>0</v>
      </c>
      <c r="V32" s="355"/>
      <c r="W32" s="360" t="str">
        <f>IF(U32=0,"",COUNTIF(W$27:W31,"&gt;0")+1)</f>
        <v/>
      </c>
      <c r="X32" s="360" t="str">
        <f>IF(U32=0,"",COUNTIF(X$27:X31,"&gt;0")+1)</f>
        <v/>
      </c>
      <c r="Y32" s="355"/>
      <c r="Z32" s="359">
        <f t="shared" si="17"/>
        <v>2.5059999999999998</v>
      </c>
      <c r="AA32" s="359" t="str">
        <f t="shared" si="4"/>
        <v/>
      </c>
      <c r="AB32" s="359">
        <f t="shared" si="18"/>
        <v>2.5059999999999998</v>
      </c>
      <c r="AC32" s="355">
        <v>6.0000000000000001E-3</v>
      </c>
      <c r="AD32" s="355" t="str">
        <f t="shared" si="5"/>
        <v/>
      </c>
      <c r="AE32" s="355">
        <f t="shared" si="19"/>
        <v>1</v>
      </c>
      <c r="AF32" s="355" t="str">
        <f t="shared" si="20"/>
        <v/>
      </c>
      <c r="AG32" s="355">
        <f t="shared" si="21"/>
        <v>1</v>
      </c>
      <c r="AH32" s="355">
        <f t="shared" si="7"/>
        <v>0</v>
      </c>
      <c r="AI32" s="355"/>
      <c r="AJ32" s="219"/>
      <c r="AK32" s="219"/>
      <c r="AL32" s="219"/>
      <c r="AM32" s="399"/>
      <c r="AN32" s="399"/>
      <c r="AO32" s="399"/>
      <c r="AP32" s="399"/>
    </row>
    <row r="33" spans="1:42" x14ac:dyDescent="0.25">
      <c r="A33" s="331"/>
      <c r="B33" s="48" t="s">
        <v>10</v>
      </c>
      <c r="C33" s="78" t="s">
        <v>462</v>
      </c>
      <c r="D33" s="79"/>
      <c r="E33" s="80" t="s">
        <v>43</v>
      </c>
      <c r="F33" s="180" t="s">
        <v>387</v>
      </c>
      <c r="G33" s="176">
        <v>8712815777573</v>
      </c>
      <c r="H33" s="19">
        <v>3</v>
      </c>
      <c r="I33" s="18">
        <v>2</v>
      </c>
      <c r="J33" s="22" t="s">
        <v>44</v>
      </c>
      <c r="K33" s="5" t="s">
        <v>26</v>
      </c>
      <c r="L33" s="200" t="s">
        <v>23</v>
      </c>
      <c r="M33" s="356" t="s">
        <v>19</v>
      </c>
      <c r="N33" s="354" t="s">
        <v>738</v>
      </c>
      <c r="O33" s="355">
        <v>41</v>
      </c>
      <c r="P33" s="355">
        <v>7.0999999999999994E-2</v>
      </c>
      <c r="Q33" s="355"/>
      <c r="R33" s="355">
        <v>30</v>
      </c>
      <c r="S33" s="355" t="s">
        <v>562</v>
      </c>
      <c r="T33" s="355" t="s">
        <v>562</v>
      </c>
      <c r="U33" s="355">
        <f t="shared" si="3"/>
        <v>0</v>
      </c>
      <c r="V33" s="355"/>
      <c r="W33" s="360" t="str">
        <f>IF(U33=0,"",COUNTIF(W$27:W32,"&gt;0")+1)</f>
        <v/>
      </c>
      <c r="X33" s="360" t="str">
        <f>IF(U33=0,"",COUNTIF(X$27:X32,"&gt;0")+1)</f>
        <v/>
      </c>
      <c r="Y33" s="355"/>
      <c r="Z33" s="359">
        <f t="shared" si="17"/>
        <v>6.5069999999999997</v>
      </c>
      <c r="AA33" s="359" t="str">
        <f t="shared" si="4"/>
        <v/>
      </c>
      <c r="AB33" s="359">
        <f t="shared" si="18"/>
        <v>6.5069999999999997</v>
      </c>
      <c r="AC33" s="355">
        <v>7.0000000000000001E-3</v>
      </c>
      <c r="AD33" s="355" t="str">
        <f t="shared" si="5"/>
        <v/>
      </c>
      <c r="AE33" s="355">
        <f t="shared" si="19"/>
        <v>30</v>
      </c>
      <c r="AF33" s="355" t="str">
        <f t="shared" si="20"/>
        <v/>
      </c>
      <c r="AG33" s="355">
        <f t="shared" si="21"/>
        <v>28</v>
      </c>
      <c r="AH33" s="355">
        <f t="shared" si="7"/>
        <v>0</v>
      </c>
      <c r="AI33" s="355"/>
      <c r="AJ33" s="219"/>
      <c r="AK33" s="219"/>
      <c r="AL33" s="219"/>
      <c r="AM33" s="399"/>
      <c r="AN33" s="399"/>
      <c r="AO33" s="399"/>
      <c r="AP33" s="399"/>
    </row>
    <row r="34" spans="1:42" x14ac:dyDescent="0.25">
      <c r="A34" s="331"/>
      <c r="B34" s="48" t="s">
        <v>10</v>
      </c>
      <c r="C34" s="225" t="s">
        <v>336</v>
      </c>
      <c r="D34" s="149"/>
      <c r="E34" s="80" t="s">
        <v>371</v>
      </c>
      <c r="F34" s="181" t="s">
        <v>387</v>
      </c>
      <c r="G34" s="176">
        <v>8713469104432</v>
      </c>
      <c r="H34" s="19">
        <v>3</v>
      </c>
      <c r="I34" s="13">
        <v>1</v>
      </c>
      <c r="J34" s="135" t="s">
        <v>353</v>
      </c>
      <c r="K34" s="5" t="s">
        <v>26</v>
      </c>
      <c r="L34" s="200" t="s">
        <v>23</v>
      </c>
      <c r="M34" s="356" t="s">
        <v>19</v>
      </c>
      <c r="N34" s="355" t="s">
        <v>739</v>
      </c>
      <c r="O34" s="355">
        <v>42</v>
      </c>
      <c r="P34" s="355">
        <v>7.0999999999999994E-2</v>
      </c>
      <c r="Q34" s="355"/>
      <c r="R34" s="355">
        <v>35</v>
      </c>
      <c r="S34" s="355" t="s">
        <v>562</v>
      </c>
      <c r="T34" s="355" t="s">
        <v>562</v>
      </c>
      <c r="U34" s="355">
        <f t="shared" si="3"/>
        <v>0</v>
      </c>
      <c r="V34" s="355"/>
      <c r="W34" s="360" t="str">
        <f>IF(U34=0,"",COUNTIF(W$27:W33,"&gt;0")+1)</f>
        <v/>
      </c>
      <c r="X34" s="360" t="str">
        <f>IF(U34=0,"",COUNTIF(X$27:X33,"&gt;0")+1)</f>
        <v/>
      </c>
      <c r="Y34" s="355"/>
      <c r="Z34" s="359">
        <f t="shared" si="17"/>
        <v>5.508</v>
      </c>
      <c r="AA34" s="359" t="str">
        <f t="shared" si="4"/>
        <v/>
      </c>
      <c r="AB34" s="359">
        <f t="shared" si="18"/>
        <v>5.508</v>
      </c>
      <c r="AC34" s="355">
        <v>8.0000000000000002E-3</v>
      </c>
      <c r="AD34" s="355" t="str">
        <f t="shared" si="5"/>
        <v/>
      </c>
      <c r="AE34" s="355">
        <f t="shared" si="19"/>
        <v>23</v>
      </c>
      <c r="AF34" s="355" t="str">
        <f t="shared" si="20"/>
        <v/>
      </c>
      <c r="AG34" s="355">
        <f t="shared" si="21"/>
        <v>22</v>
      </c>
      <c r="AH34" s="355">
        <f t="shared" si="7"/>
        <v>0</v>
      </c>
      <c r="AI34" s="355"/>
      <c r="AJ34" s="219"/>
      <c r="AK34" s="219"/>
      <c r="AL34" s="219"/>
      <c r="AM34" s="399"/>
      <c r="AN34" s="399"/>
      <c r="AO34" s="399"/>
      <c r="AP34" s="399"/>
    </row>
    <row r="35" spans="1:42" ht="15.75" customHeight="1" x14ac:dyDescent="0.25">
      <c r="A35" s="331"/>
      <c r="B35" s="48" t="s">
        <v>10</v>
      </c>
      <c r="C35" s="226" t="s">
        <v>337</v>
      </c>
      <c r="D35" s="149"/>
      <c r="E35" s="80" t="s">
        <v>354</v>
      </c>
      <c r="F35" s="180" t="s">
        <v>387</v>
      </c>
      <c r="G35" s="176">
        <v>8713469104722</v>
      </c>
      <c r="H35" s="19">
        <v>3</v>
      </c>
      <c r="I35" s="19">
        <v>3</v>
      </c>
      <c r="J35" s="22" t="s">
        <v>355</v>
      </c>
      <c r="K35" s="5">
        <v>1</v>
      </c>
      <c r="L35" s="200" t="s">
        <v>23</v>
      </c>
      <c r="M35" s="356" t="s">
        <v>19</v>
      </c>
      <c r="N35" s="354" t="s">
        <v>741</v>
      </c>
      <c r="O35" s="355">
        <v>43</v>
      </c>
      <c r="P35" s="355">
        <v>7.0999999999999994E-2</v>
      </c>
      <c r="Q35" s="355"/>
      <c r="R35" s="355">
        <v>30</v>
      </c>
      <c r="S35" s="355" t="s">
        <v>562</v>
      </c>
      <c r="T35" s="355" t="s">
        <v>562</v>
      </c>
      <c r="U35" s="355">
        <f t="shared" si="3"/>
        <v>0</v>
      </c>
      <c r="V35" s="355"/>
      <c r="W35" s="360" t="str">
        <f>IF(U35=0,"",COUNTIF(W$27:W34,"&gt;0")+1)</f>
        <v/>
      </c>
      <c r="X35" s="360" t="str">
        <f>IF(U35=0,"",COUNTIF(X$27:X34,"&gt;0")+1)</f>
        <v/>
      </c>
      <c r="Y35" s="355"/>
      <c r="Z35" s="359">
        <f t="shared" si="17"/>
        <v>7.5090000000000003</v>
      </c>
      <c r="AA35" s="359">
        <f t="shared" si="4"/>
        <v>7.5090000000000003</v>
      </c>
      <c r="AB35" s="359" t="str">
        <f t="shared" si="18"/>
        <v/>
      </c>
      <c r="AC35" s="355">
        <v>8.9999999999999993E-3</v>
      </c>
      <c r="AD35" s="355" t="str">
        <f t="shared" si="5"/>
        <v/>
      </c>
      <c r="AE35" s="355">
        <f t="shared" si="19"/>
        <v>33</v>
      </c>
      <c r="AF35" s="355">
        <f t="shared" si="20"/>
        <v>3</v>
      </c>
      <c r="AG35" s="355" t="str">
        <f t="shared" si="21"/>
        <v/>
      </c>
      <c r="AH35" s="355">
        <f t="shared" si="7"/>
        <v>0</v>
      </c>
      <c r="AI35" s="355"/>
      <c r="AJ35" s="219"/>
      <c r="AK35" s="219"/>
      <c r="AL35" s="219"/>
      <c r="AM35" s="399"/>
      <c r="AN35" s="399"/>
      <c r="AO35" s="399"/>
      <c r="AP35" s="399"/>
    </row>
    <row r="36" spans="1:42" ht="15.75" customHeight="1" x14ac:dyDescent="0.25">
      <c r="A36" s="331"/>
      <c r="B36" s="48" t="s">
        <v>10</v>
      </c>
      <c r="C36" s="151" t="s">
        <v>338</v>
      </c>
      <c r="D36" s="118"/>
      <c r="E36" s="123" t="s">
        <v>356</v>
      </c>
      <c r="F36" s="182" t="s">
        <v>387</v>
      </c>
      <c r="G36" s="176">
        <v>8713469104739</v>
      </c>
      <c r="H36" s="18">
        <v>2</v>
      </c>
      <c r="I36" s="19">
        <v>3</v>
      </c>
      <c r="J36" s="22" t="s">
        <v>357</v>
      </c>
      <c r="K36" s="5">
        <v>1</v>
      </c>
      <c r="L36" s="200" t="s">
        <v>23</v>
      </c>
      <c r="M36" s="356" t="s">
        <v>19</v>
      </c>
      <c r="N36" s="355" t="s">
        <v>742</v>
      </c>
      <c r="O36" s="355">
        <v>44</v>
      </c>
      <c r="P36" s="355">
        <v>7.0999999999999994E-2</v>
      </c>
      <c r="Q36" s="355"/>
      <c r="R36" s="355">
        <v>30</v>
      </c>
      <c r="S36" s="355" t="s">
        <v>562</v>
      </c>
      <c r="T36" s="355" t="s">
        <v>562</v>
      </c>
      <c r="U36" s="355">
        <f t="shared" si="3"/>
        <v>0</v>
      </c>
      <c r="V36" s="355"/>
      <c r="W36" s="360" t="str">
        <f>IF(U36=0,"",COUNTIF(W$27:W35,"&gt;0")+1)</f>
        <v/>
      </c>
      <c r="X36" s="360" t="str">
        <f>IF(U36=0,"",COUNTIF(X$27:X35,"&gt;0")+1)</f>
        <v/>
      </c>
      <c r="Y36" s="355"/>
      <c r="Z36" s="359">
        <f t="shared" si="17"/>
        <v>6.01</v>
      </c>
      <c r="AA36" s="359">
        <f t="shared" si="4"/>
        <v>6.01</v>
      </c>
      <c r="AB36" s="359" t="str">
        <f t="shared" si="18"/>
        <v/>
      </c>
      <c r="AC36" s="355">
        <v>0.01</v>
      </c>
      <c r="AD36" s="355" t="str">
        <f t="shared" si="5"/>
        <v/>
      </c>
      <c r="AE36" s="355">
        <f t="shared" si="19"/>
        <v>27</v>
      </c>
      <c r="AF36" s="355">
        <f t="shared" si="20"/>
        <v>2</v>
      </c>
      <c r="AG36" s="355" t="str">
        <f t="shared" si="21"/>
        <v/>
      </c>
      <c r="AH36" s="355">
        <f t="shared" si="7"/>
        <v>0</v>
      </c>
      <c r="AI36" s="355"/>
      <c r="AJ36" s="219"/>
      <c r="AK36" s="219"/>
      <c r="AL36" s="219"/>
      <c r="AM36" s="399"/>
      <c r="AN36" s="399"/>
      <c r="AO36" s="399"/>
      <c r="AP36" s="399"/>
    </row>
    <row r="37" spans="1:42" x14ac:dyDescent="0.25">
      <c r="A37" s="331"/>
      <c r="B37" s="48" t="s">
        <v>10</v>
      </c>
      <c r="C37" s="78" t="s">
        <v>55</v>
      </c>
      <c r="D37" s="79"/>
      <c r="E37" s="80" t="s">
        <v>56</v>
      </c>
      <c r="F37" s="180" t="s">
        <v>387</v>
      </c>
      <c r="G37" s="176">
        <v>8712815038520</v>
      </c>
      <c r="H37" s="19">
        <v>3</v>
      </c>
      <c r="I37" s="18">
        <v>2</v>
      </c>
      <c r="J37" s="22" t="s">
        <v>57</v>
      </c>
      <c r="K37" s="5" t="s">
        <v>26</v>
      </c>
      <c r="L37" s="200"/>
      <c r="M37" s="356" t="s">
        <v>19</v>
      </c>
      <c r="N37" s="354" t="s">
        <v>743</v>
      </c>
      <c r="O37" s="355">
        <v>45</v>
      </c>
      <c r="P37" s="355">
        <v>7.0999999999999994E-2</v>
      </c>
      <c r="Q37" s="355"/>
      <c r="R37" s="355">
        <v>30</v>
      </c>
      <c r="S37" s="355" t="s">
        <v>562</v>
      </c>
      <c r="T37" s="355" t="s">
        <v>562</v>
      </c>
      <c r="U37" s="355">
        <f t="shared" si="3"/>
        <v>0</v>
      </c>
      <c r="V37" s="355"/>
      <c r="W37" s="360" t="str">
        <f>IF(U37=0,"",COUNTIF(W$27:W36,"&gt;0")+1)</f>
        <v/>
      </c>
      <c r="X37" s="360" t="str">
        <f>IF(U37=0,"",COUNTIF(X$27:X36,"&gt;0")+1)</f>
        <v/>
      </c>
      <c r="Y37" s="355"/>
      <c r="Z37" s="359">
        <f t="shared" si="17"/>
        <v>6.5110000000000001</v>
      </c>
      <c r="AA37" s="359" t="str">
        <f t="shared" si="4"/>
        <v/>
      </c>
      <c r="AB37" s="359">
        <f t="shared" si="18"/>
        <v>6.5110000000000001</v>
      </c>
      <c r="AC37" s="355">
        <v>1.0999999999999999E-2</v>
      </c>
      <c r="AD37" s="355" t="str">
        <f t="shared" si="5"/>
        <v/>
      </c>
      <c r="AE37" s="355">
        <f t="shared" si="19"/>
        <v>31</v>
      </c>
      <c r="AF37" s="355" t="str">
        <f t="shared" si="20"/>
        <v/>
      </c>
      <c r="AG37" s="355">
        <f t="shared" si="21"/>
        <v>29</v>
      </c>
      <c r="AH37" s="355">
        <f t="shared" si="7"/>
        <v>0</v>
      </c>
      <c r="AI37" s="355"/>
      <c r="AJ37" s="219"/>
      <c r="AK37" s="219"/>
      <c r="AL37" s="219"/>
      <c r="AM37" s="399"/>
      <c r="AN37" s="399"/>
      <c r="AO37" s="399"/>
      <c r="AP37" s="399"/>
    </row>
    <row r="38" spans="1:42" ht="15" hidden="1" customHeight="1" x14ac:dyDescent="0.25">
      <c r="A38" s="331"/>
      <c r="B38" s="48" t="s">
        <v>10</v>
      </c>
      <c r="C38" s="78" t="s">
        <v>58</v>
      </c>
      <c r="D38" s="79"/>
      <c r="E38" s="80" t="s">
        <v>59</v>
      </c>
      <c r="F38" s="180" t="s">
        <v>387</v>
      </c>
      <c r="G38" s="176">
        <v>8713469104746</v>
      </c>
      <c r="H38" s="18">
        <v>2</v>
      </c>
      <c r="I38" s="13">
        <v>1</v>
      </c>
      <c r="J38" s="22" t="s">
        <v>60</v>
      </c>
      <c r="K38" s="5" t="s">
        <v>26</v>
      </c>
      <c r="L38" s="200"/>
      <c r="M38" s="356" t="s">
        <v>30</v>
      </c>
      <c r="N38" s="354" t="s">
        <v>744</v>
      </c>
      <c r="O38" s="355"/>
      <c r="P38" s="355">
        <v>7.0999999999999994E-2</v>
      </c>
      <c r="Q38" s="355"/>
      <c r="R38" s="355">
        <v>40</v>
      </c>
      <c r="S38" s="355" t="s">
        <v>562</v>
      </c>
      <c r="T38" s="355" t="s">
        <v>562</v>
      </c>
      <c r="U38" s="355">
        <f t="shared" si="3"/>
        <v>0</v>
      </c>
      <c r="V38" s="355"/>
      <c r="W38" s="360" t="str">
        <f>IF(U38=0,"",COUNTIF(W$27:W37,"&gt;0")+1)</f>
        <v/>
      </c>
      <c r="X38" s="360" t="str">
        <f>IF(U38=0,"",COUNTIF(X$27:X37,"&gt;0")+1)</f>
        <v/>
      </c>
      <c r="Y38" s="355"/>
      <c r="Z38" s="359" t="str">
        <f t="shared" si="17"/>
        <v/>
      </c>
      <c r="AA38" s="359" t="str">
        <f t="shared" si="4"/>
        <v/>
      </c>
      <c r="AB38" s="359" t="str">
        <f t="shared" si="18"/>
        <v/>
      </c>
      <c r="AC38" s="355">
        <v>1.2E-2</v>
      </c>
      <c r="AD38" s="355" t="str">
        <f t="shared" si="5"/>
        <v>YES</v>
      </c>
      <c r="AE38" s="355" t="str">
        <f t="shared" si="19"/>
        <v/>
      </c>
      <c r="AF38" s="355" t="str">
        <f t="shared" si="20"/>
        <v/>
      </c>
      <c r="AG38" s="355" t="str">
        <f t="shared" si="21"/>
        <v/>
      </c>
      <c r="AH38" s="355">
        <f t="shared" si="7"/>
        <v>0</v>
      </c>
      <c r="AI38" s="355"/>
      <c r="AJ38" s="219"/>
      <c r="AK38" s="219"/>
      <c r="AL38" s="219"/>
      <c r="AM38" s="399"/>
      <c r="AN38" s="399"/>
      <c r="AO38" s="399"/>
      <c r="AP38" s="399"/>
    </row>
    <row r="39" spans="1:42" ht="15" hidden="1" customHeight="1" x14ac:dyDescent="0.25">
      <c r="A39" s="331"/>
      <c r="B39" s="48" t="s">
        <v>10</v>
      </c>
      <c r="C39" s="78" t="s">
        <v>520</v>
      </c>
      <c r="D39" s="79"/>
      <c r="E39" s="80" t="s">
        <v>61</v>
      </c>
      <c r="F39" s="180" t="s">
        <v>387</v>
      </c>
      <c r="G39" s="176">
        <v>8712815038544</v>
      </c>
      <c r="H39" s="13">
        <v>1</v>
      </c>
      <c r="I39" s="13">
        <v>1</v>
      </c>
      <c r="J39" s="108" t="s">
        <v>62</v>
      </c>
      <c r="K39" s="5" t="s">
        <v>26</v>
      </c>
      <c r="L39" s="200"/>
      <c r="M39" s="356" t="s">
        <v>30</v>
      </c>
      <c r="N39" s="354" t="s">
        <v>745</v>
      </c>
      <c r="O39" s="355"/>
      <c r="P39" s="355">
        <v>7.0999999999999994E-2</v>
      </c>
      <c r="Q39" s="355"/>
      <c r="R39" s="355">
        <v>30</v>
      </c>
      <c r="S39" s="355" t="s">
        <v>562</v>
      </c>
      <c r="T39" s="355" t="s">
        <v>562</v>
      </c>
      <c r="U39" s="355">
        <f t="shared" si="3"/>
        <v>0</v>
      </c>
      <c r="V39" s="355"/>
      <c r="W39" s="360" t="str">
        <f>IF(U39=0,"",COUNTIF(W$27:W38,"&gt;0")+1)</f>
        <v/>
      </c>
      <c r="X39" s="360" t="str">
        <f>IF(U39=0,"",COUNTIF(X$27:X38,"&gt;0")+1)</f>
        <v/>
      </c>
      <c r="Y39" s="355"/>
      <c r="Z39" s="359" t="str">
        <f t="shared" si="17"/>
        <v/>
      </c>
      <c r="AA39" s="359" t="str">
        <f t="shared" si="4"/>
        <v/>
      </c>
      <c r="AB39" s="359" t="str">
        <f t="shared" si="18"/>
        <v/>
      </c>
      <c r="AC39" s="355">
        <v>1.2999999999999999E-2</v>
      </c>
      <c r="AD39" s="355" t="str">
        <f t="shared" si="5"/>
        <v>YES</v>
      </c>
      <c r="AE39" s="355" t="str">
        <f t="shared" si="19"/>
        <v/>
      </c>
      <c r="AF39" s="355" t="str">
        <f t="shared" si="20"/>
        <v/>
      </c>
      <c r="AG39" s="355" t="str">
        <f t="shared" si="21"/>
        <v/>
      </c>
      <c r="AH39" s="355">
        <f t="shared" si="7"/>
        <v>0</v>
      </c>
      <c r="AI39" s="355"/>
      <c r="AJ39" s="219"/>
      <c r="AK39" s="219"/>
      <c r="AL39" s="219"/>
      <c r="AM39" s="399"/>
      <c r="AN39" s="399"/>
      <c r="AO39" s="399"/>
      <c r="AP39" s="399"/>
    </row>
    <row r="40" spans="1:42" ht="15" hidden="1" customHeight="1" x14ac:dyDescent="0.25">
      <c r="A40" s="331"/>
      <c r="B40" s="48" t="s">
        <v>10</v>
      </c>
      <c r="C40" s="78" t="s">
        <v>63</v>
      </c>
      <c r="D40" s="79"/>
      <c r="E40" s="80" t="s">
        <v>64</v>
      </c>
      <c r="F40" s="180" t="s">
        <v>387</v>
      </c>
      <c r="G40" s="176">
        <v>8712815203331</v>
      </c>
      <c r="H40" s="18">
        <v>2</v>
      </c>
      <c r="I40" s="13">
        <v>1</v>
      </c>
      <c r="J40" s="22" t="s">
        <v>65</v>
      </c>
      <c r="K40" s="5" t="s">
        <v>26</v>
      </c>
      <c r="L40" s="200" t="s">
        <v>23</v>
      </c>
      <c r="M40" s="356" t="s">
        <v>30</v>
      </c>
      <c r="N40" s="354" t="s">
        <v>746</v>
      </c>
      <c r="O40" s="355"/>
      <c r="P40" s="355">
        <v>7.0999999999999994E-2</v>
      </c>
      <c r="Q40" s="355"/>
      <c r="R40" s="355">
        <v>30</v>
      </c>
      <c r="S40" s="355" t="s">
        <v>562</v>
      </c>
      <c r="T40" s="355" t="s">
        <v>562</v>
      </c>
      <c r="U40" s="355">
        <f t="shared" si="3"/>
        <v>0</v>
      </c>
      <c r="V40" s="355"/>
      <c r="W40" s="360" t="str">
        <f>IF(U40=0,"",COUNTIF(W$27:W39,"&gt;0")+1)</f>
        <v/>
      </c>
      <c r="X40" s="360" t="str">
        <f>IF(U40=0,"",COUNTIF(X$27:X39,"&gt;0")+1)</f>
        <v/>
      </c>
      <c r="Y40" s="355"/>
      <c r="Z40" s="359" t="str">
        <f t="shared" si="17"/>
        <v/>
      </c>
      <c r="AA40" s="359" t="str">
        <f t="shared" si="4"/>
        <v/>
      </c>
      <c r="AB40" s="359" t="str">
        <f t="shared" si="18"/>
        <v/>
      </c>
      <c r="AC40" s="355">
        <v>1.4E-2</v>
      </c>
      <c r="AD40" s="355" t="str">
        <f t="shared" si="5"/>
        <v>YES</v>
      </c>
      <c r="AE40" s="355" t="str">
        <f t="shared" si="19"/>
        <v/>
      </c>
      <c r="AF40" s="355" t="str">
        <f t="shared" si="20"/>
        <v/>
      </c>
      <c r="AG40" s="355" t="str">
        <f t="shared" si="21"/>
        <v/>
      </c>
      <c r="AH40" s="355">
        <f t="shared" si="7"/>
        <v>0</v>
      </c>
      <c r="AI40" s="355"/>
      <c r="AJ40" s="219"/>
      <c r="AK40" s="219"/>
      <c r="AL40" s="219"/>
      <c r="AM40" s="399"/>
      <c r="AN40" s="399"/>
      <c r="AO40" s="399"/>
      <c r="AP40" s="399"/>
    </row>
    <row r="41" spans="1:42" ht="15" hidden="1" customHeight="1" x14ac:dyDescent="0.25">
      <c r="A41" s="331"/>
      <c r="B41" s="48" t="s">
        <v>10</v>
      </c>
      <c r="C41" s="227" t="s">
        <v>359</v>
      </c>
      <c r="D41" s="209"/>
      <c r="E41" s="80" t="s">
        <v>358</v>
      </c>
      <c r="F41" s="180" t="s">
        <v>387</v>
      </c>
      <c r="G41" s="177">
        <v>8719743711396</v>
      </c>
      <c r="H41" s="18">
        <v>2</v>
      </c>
      <c r="I41" s="13">
        <v>1</v>
      </c>
      <c r="J41" s="22" t="s">
        <v>361</v>
      </c>
      <c r="K41" s="5" t="s">
        <v>26</v>
      </c>
      <c r="L41" s="200"/>
      <c r="M41" s="356" t="s">
        <v>30</v>
      </c>
      <c r="N41" s="355" t="s">
        <v>747</v>
      </c>
      <c r="O41" s="355"/>
      <c r="P41" s="355">
        <v>7.0999999999999994E-2</v>
      </c>
      <c r="Q41" s="355"/>
      <c r="R41" s="355">
        <v>30</v>
      </c>
      <c r="S41" s="355" t="s">
        <v>562</v>
      </c>
      <c r="T41" s="355" t="s">
        <v>562</v>
      </c>
      <c r="U41" s="355">
        <f t="shared" si="3"/>
        <v>0</v>
      </c>
      <c r="V41" s="355"/>
      <c r="W41" s="360" t="str">
        <f>IF(U41=0,"",COUNTIF(W$27:W40,"&gt;0")+1)</f>
        <v/>
      </c>
      <c r="X41" s="360" t="str">
        <f>IF(U41=0,"",COUNTIF(X$27:X40,"&gt;0")+1)</f>
        <v/>
      </c>
      <c r="Y41" s="355"/>
      <c r="Z41" s="359" t="str">
        <f t="shared" si="17"/>
        <v/>
      </c>
      <c r="AA41" s="359" t="str">
        <f t="shared" si="4"/>
        <v/>
      </c>
      <c r="AB41" s="359" t="str">
        <f t="shared" si="18"/>
        <v/>
      </c>
      <c r="AC41" s="355">
        <v>1.4999999999999999E-2</v>
      </c>
      <c r="AD41" s="355" t="str">
        <f t="shared" si="5"/>
        <v>YES</v>
      </c>
      <c r="AE41" s="355" t="str">
        <f t="shared" si="19"/>
        <v/>
      </c>
      <c r="AF41" s="355" t="str">
        <f t="shared" si="20"/>
        <v/>
      </c>
      <c r="AG41" s="355" t="str">
        <f t="shared" si="21"/>
        <v/>
      </c>
      <c r="AH41" s="355">
        <f t="shared" si="7"/>
        <v>0</v>
      </c>
      <c r="AI41" s="355"/>
      <c r="AJ41" s="219"/>
      <c r="AK41" s="219"/>
      <c r="AL41" s="219"/>
      <c r="AM41" s="399"/>
      <c r="AN41" s="399"/>
      <c r="AO41" s="399"/>
      <c r="AP41" s="399"/>
    </row>
    <row r="42" spans="1:42" x14ac:dyDescent="0.25">
      <c r="A42" s="331"/>
      <c r="B42" s="48" t="s">
        <v>10</v>
      </c>
      <c r="C42" s="78" t="s">
        <v>339</v>
      </c>
      <c r="D42" s="79"/>
      <c r="E42" s="80" t="s">
        <v>524</v>
      </c>
      <c r="F42" s="180" t="s">
        <v>387</v>
      </c>
      <c r="G42" s="176">
        <v>8713469104838</v>
      </c>
      <c r="H42" s="13">
        <v>1</v>
      </c>
      <c r="I42" s="18">
        <v>2</v>
      </c>
      <c r="J42" s="22" t="s">
        <v>66</v>
      </c>
      <c r="K42" s="5" t="s">
        <v>26</v>
      </c>
      <c r="L42" s="200"/>
      <c r="M42" s="356" t="s">
        <v>19</v>
      </c>
      <c r="N42" s="354" t="s">
        <v>750</v>
      </c>
      <c r="O42" s="355">
        <v>69</v>
      </c>
      <c r="P42" s="355">
        <v>7.0999999999999994E-2</v>
      </c>
      <c r="Q42" s="355"/>
      <c r="R42" s="355">
        <v>35</v>
      </c>
      <c r="S42" s="355" t="s">
        <v>562</v>
      </c>
      <c r="T42" s="355" t="s">
        <v>562</v>
      </c>
      <c r="U42" s="355">
        <f t="shared" si="3"/>
        <v>0</v>
      </c>
      <c r="V42" s="355"/>
      <c r="W42" s="360" t="str">
        <f>IF(U42=0,"",COUNTIF(W$27:W41,"&gt;0")+1)</f>
        <v/>
      </c>
      <c r="X42" s="360" t="str">
        <f>IF(U42=0,"",COUNTIF(X$27:X41,"&gt;0")+1)</f>
        <v/>
      </c>
      <c r="Y42" s="355"/>
      <c r="Z42" s="359">
        <f t="shared" si="17"/>
        <v>3.516</v>
      </c>
      <c r="AA42" s="359" t="str">
        <f t="shared" si="4"/>
        <v/>
      </c>
      <c r="AB42" s="359">
        <f t="shared" si="18"/>
        <v>3.516</v>
      </c>
      <c r="AC42" s="355">
        <v>1.6E-2</v>
      </c>
      <c r="AD42" s="355" t="str">
        <f t="shared" si="5"/>
        <v/>
      </c>
      <c r="AE42" s="355">
        <f t="shared" si="19"/>
        <v>7</v>
      </c>
      <c r="AF42" s="355" t="str">
        <f t="shared" si="20"/>
        <v/>
      </c>
      <c r="AG42" s="355">
        <f t="shared" si="21"/>
        <v>7</v>
      </c>
      <c r="AH42" s="355">
        <f t="shared" si="7"/>
        <v>0</v>
      </c>
      <c r="AI42" s="355"/>
      <c r="AJ42" s="219"/>
      <c r="AK42" s="219"/>
      <c r="AL42" s="219"/>
      <c r="AM42" s="399"/>
      <c r="AN42" s="399"/>
      <c r="AO42" s="399"/>
      <c r="AP42" s="399"/>
    </row>
    <row r="43" spans="1:42" x14ac:dyDescent="0.25">
      <c r="A43" s="331"/>
      <c r="B43" s="48" t="s">
        <v>10</v>
      </c>
      <c r="C43" s="78" t="s">
        <v>67</v>
      </c>
      <c r="D43" s="79"/>
      <c r="E43" s="80" t="s">
        <v>524</v>
      </c>
      <c r="F43" s="180" t="s">
        <v>387</v>
      </c>
      <c r="G43" s="176">
        <v>8718226851598</v>
      </c>
      <c r="H43" s="13">
        <v>1</v>
      </c>
      <c r="I43" s="18">
        <v>2</v>
      </c>
      <c r="J43" s="22" t="s">
        <v>68</v>
      </c>
      <c r="K43" s="5" t="s">
        <v>26</v>
      </c>
      <c r="L43" s="200"/>
      <c r="M43" s="356" t="s">
        <v>19</v>
      </c>
      <c r="N43" s="354" t="s">
        <v>751</v>
      </c>
      <c r="O43" s="355">
        <v>46</v>
      </c>
      <c r="P43" s="355">
        <v>7.0999999999999994E-2</v>
      </c>
      <c r="Q43" s="355"/>
      <c r="R43" s="355">
        <v>30</v>
      </c>
      <c r="S43" s="355" t="s">
        <v>562</v>
      </c>
      <c r="T43" s="355" t="s">
        <v>562</v>
      </c>
      <c r="U43" s="355">
        <f t="shared" si="3"/>
        <v>0</v>
      </c>
      <c r="V43" s="355"/>
      <c r="W43" s="360" t="str">
        <f>IF(U43=0,"",COUNTIF(W$27:W42,"&gt;0")+1)</f>
        <v/>
      </c>
      <c r="X43" s="360" t="str">
        <f>IF(U43=0,"",COUNTIF(X$27:X42,"&gt;0")+1)</f>
        <v/>
      </c>
      <c r="Y43" s="355"/>
      <c r="Z43" s="359">
        <f t="shared" si="17"/>
        <v>3.5169999999999999</v>
      </c>
      <c r="AA43" s="359" t="str">
        <f t="shared" si="4"/>
        <v/>
      </c>
      <c r="AB43" s="359">
        <f t="shared" si="18"/>
        <v>3.5169999999999999</v>
      </c>
      <c r="AC43" s="355">
        <v>1.7000000000000001E-2</v>
      </c>
      <c r="AD43" s="355" t="str">
        <f t="shared" si="5"/>
        <v/>
      </c>
      <c r="AE43" s="355">
        <f t="shared" si="19"/>
        <v>8</v>
      </c>
      <c r="AF43" s="355" t="str">
        <f t="shared" si="20"/>
        <v/>
      </c>
      <c r="AG43" s="355">
        <f t="shared" si="21"/>
        <v>8</v>
      </c>
      <c r="AH43" s="355">
        <f t="shared" si="7"/>
        <v>0</v>
      </c>
      <c r="AI43" s="355"/>
      <c r="AJ43" s="219"/>
      <c r="AK43" s="219"/>
      <c r="AL43" s="219"/>
      <c r="AM43" s="399"/>
      <c r="AN43" s="399"/>
      <c r="AO43" s="399"/>
      <c r="AP43" s="399"/>
    </row>
    <row r="44" spans="1:42" x14ac:dyDescent="0.25">
      <c r="A44" s="332"/>
      <c r="B44" s="48" t="s">
        <v>10</v>
      </c>
      <c r="C44" s="78" t="s">
        <v>69</v>
      </c>
      <c r="D44" s="79"/>
      <c r="E44" s="80" t="s">
        <v>70</v>
      </c>
      <c r="F44" s="180" t="s">
        <v>387</v>
      </c>
      <c r="G44" s="176">
        <v>8713469103220</v>
      </c>
      <c r="H44" s="13">
        <v>1</v>
      </c>
      <c r="I44" s="13">
        <v>1</v>
      </c>
      <c r="J44" s="22" t="s">
        <v>71</v>
      </c>
      <c r="K44" s="5" t="s">
        <v>13</v>
      </c>
      <c r="L44" s="200" t="s">
        <v>23</v>
      </c>
      <c r="M44" s="356" t="s">
        <v>19</v>
      </c>
      <c r="N44" s="354" t="s">
        <v>752</v>
      </c>
      <c r="O44" s="355">
        <v>68</v>
      </c>
      <c r="P44" s="355">
        <v>7.0999999999999994E-2</v>
      </c>
      <c r="Q44" s="355"/>
      <c r="R44" s="355">
        <v>30</v>
      </c>
      <c r="S44" s="355" t="s">
        <v>562</v>
      </c>
      <c r="T44" s="355" t="s">
        <v>562</v>
      </c>
      <c r="U44" s="355">
        <f t="shared" si="3"/>
        <v>0</v>
      </c>
      <c r="V44" s="355"/>
      <c r="W44" s="360" t="str">
        <f>IF(U44=0,"",COUNTIF(W$27:W43,"&gt;0")+1)</f>
        <v/>
      </c>
      <c r="X44" s="360" t="str">
        <f>IF(U44=0,"",COUNTIF(X$27:X43,"&gt;0")+1)</f>
        <v/>
      </c>
      <c r="Y44" s="355"/>
      <c r="Z44" s="359">
        <f t="shared" si="17"/>
        <v>2.5179999999999998</v>
      </c>
      <c r="AA44" s="359" t="str">
        <f t="shared" si="4"/>
        <v/>
      </c>
      <c r="AB44" s="359">
        <f t="shared" si="18"/>
        <v>2.5179999999999998</v>
      </c>
      <c r="AC44" s="355">
        <v>1.7999999999999999E-2</v>
      </c>
      <c r="AD44" s="355" t="str">
        <f t="shared" si="5"/>
        <v/>
      </c>
      <c r="AE44" s="355">
        <f t="shared" si="19"/>
        <v>2</v>
      </c>
      <c r="AF44" s="355" t="str">
        <f t="shared" si="20"/>
        <v/>
      </c>
      <c r="AG44" s="355">
        <f t="shared" si="21"/>
        <v>2</v>
      </c>
      <c r="AH44" s="355">
        <f t="shared" si="7"/>
        <v>0</v>
      </c>
      <c r="AI44" s="355"/>
      <c r="AJ44" s="219"/>
      <c r="AK44" s="219"/>
      <c r="AL44" s="219"/>
      <c r="AM44" s="399"/>
      <c r="AN44" s="399"/>
      <c r="AO44" s="399"/>
      <c r="AP44" s="399"/>
    </row>
    <row r="45" spans="1:42" x14ac:dyDescent="0.25">
      <c r="A45" s="331"/>
      <c r="B45" s="48" t="s">
        <v>10</v>
      </c>
      <c r="C45" s="132" t="s">
        <v>72</v>
      </c>
      <c r="D45" s="118"/>
      <c r="E45" s="123" t="s">
        <v>467</v>
      </c>
      <c r="F45" s="182" t="s">
        <v>387</v>
      </c>
      <c r="G45" s="176">
        <v>8713469813662</v>
      </c>
      <c r="H45" s="18">
        <v>2</v>
      </c>
      <c r="I45" s="18">
        <v>2</v>
      </c>
      <c r="J45" s="133" t="s">
        <v>73</v>
      </c>
      <c r="K45" s="5">
        <v>1</v>
      </c>
      <c r="L45" s="200"/>
      <c r="M45" s="356" t="s">
        <v>19</v>
      </c>
      <c r="N45" s="354" t="s">
        <v>756</v>
      </c>
      <c r="O45" s="355">
        <v>47</v>
      </c>
      <c r="P45" s="355">
        <v>7.0999999999999994E-2</v>
      </c>
      <c r="Q45" s="355"/>
      <c r="R45" s="355">
        <v>30</v>
      </c>
      <c r="S45" s="355" t="s">
        <v>562</v>
      </c>
      <c r="T45" s="355" t="s">
        <v>562</v>
      </c>
      <c r="U45" s="355">
        <f t="shared" si="3"/>
        <v>0</v>
      </c>
      <c r="V45" s="355"/>
      <c r="W45" s="360" t="str">
        <f>IF(U45=0,"",COUNTIF(W$27:W44,"&gt;0")+1)</f>
        <v/>
      </c>
      <c r="X45" s="360" t="str">
        <f>IF(U45=0,"",COUNTIF(X$27:X44,"&gt;0")+1)</f>
        <v/>
      </c>
      <c r="Y45" s="355"/>
      <c r="Z45" s="359">
        <f t="shared" si="17"/>
        <v>5.0190000000000001</v>
      </c>
      <c r="AA45" s="359">
        <f t="shared" si="4"/>
        <v>5.0190000000000001</v>
      </c>
      <c r="AB45" s="359" t="str">
        <f t="shared" si="18"/>
        <v/>
      </c>
      <c r="AC45" s="355">
        <v>1.9E-2</v>
      </c>
      <c r="AD45" s="355" t="str">
        <f t="shared" si="5"/>
        <v/>
      </c>
      <c r="AE45" s="355">
        <f t="shared" si="19"/>
        <v>20</v>
      </c>
      <c r="AF45" s="355">
        <f t="shared" si="20"/>
        <v>1</v>
      </c>
      <c r="AG45" s="355" t="str">
        <f t="shared" si="21"/>
        <v/>
      </c>
      <c r="AH45" s="355">
        <f t="shared" si="7"/>
        <v>0</v>
      </c>
      <c r="AI45" s="355"/>
      <c r="AJ45" s="219"/>
      <c r="AK45" s="219"/>
      <c r="AL45" s="219"/>
      <c r="AM45" s="399"/>
      <c r="AN45" s="399"/>
      <c r="AO45" s="399"/>
      <c r="AP45" s="399"/>
    </row>
    <row r="46" spans="1:42" x14ac:dyDescent="0.25">
      <c r="A46" s="331"/>
      <c r="B46" s="48" t="s">
        <v>10</v>
      </c>
      <c r="C46" s="78" t="s">
        <v>522</v>
      </c>
      <c r="D46" s="79"/>
      <c r="E46" s="80" t="s">
        <v>74</v>
      </c>
      <c r="F46" s="180" t="s">
        <v>387</v>
      </c>
      <c r="G46" s="177">
        <v>8719743711389</v>
      </c>
      <c r="H46" s="18">
        <v>2</v>
      </c>
      <c r="I46" s="19">
        <v>3</v>
      </c>
      <c r="J46" s="22" t="s">
        <v>75</v>
      </c>
      <c r="K46" s="5" t="s">
        <v>26</v>
      </c>
      <c r="L46" s="200"/>
      <c r="M46" s="356" t="s">
        <v>19</v>
      </c>
      <c r="N46" s="354" t="s">
        <v>757</v>
      </c>
      <c r="O46" s="355">
        <v>48</v>
      </c>
      <c r="P46" s="355">
        <v>7.0999999999999994E-2</v>
      </c>
      <c r="Q46" s="355"/>
      <c r="R46" s="355">
        <v>30</v>
      </c>
      <c r="S46" s="355" t="s">
        <v>562</v>
      </c>
      <c r="T46" s="355" t="s">
        <v>562</v>
      </c>
      <c r="U46" s="355">
        <f t="shared" si="3"/>
        <v>0</v>
      </c>
      <c r="V46" s="355"/>
      <c r="W46" s="360" t="str">
        <f>IF(U46=0,"",COUNTIF(W$27:W45,"&gt;0")+1)</f>
        <v/>
      </c>
      <c r="X46" s="360" t="str">
        <f>IF(U46=0,"",COUNTIF(X$27:X45,"&gt;0")+1)</f>
        <v/>
      </c>
      <c r="Y46" s="355"/>
      <c r="Z46" s="359">
        <f t="shared" si="17"/>
        <v>6.02</v>
      </c>
      <c r="AA46" s="359" t="str">
        <f t="shared" si="4"/>
        <v/>
      </c>
      <c r="AB46" s="359">
        <f t="shared" si="18"/>
        <v>6.02</v>
      </c>
      <c r="AC46" s="355">
        <v>0.02</v>
      </c>
      <c r="AD46" s="355" t="str">
        <f t="shared" si="5"/>
        <v/>
      </c>
      <c r="AE46" s="355">
        <f t="shared" si="19"/>
        <v>28</v>
      </c>
      <c r="AF46" s="355" t="str">
        <f t="shared" si="20"/>
        <v/>
      </c>
      <c r="AG46" s="355">
        <f t="shared" si="21"/>
        <v>26</v>
      </c>
      <c r="AH46" s="355">
        <f t="shared" si="7"/>
        <v>0</v>
      </c>
      <c r="AI46" s="355"/>
      <c r="AJ46" s="219"/>
      <c r="AK46" s="219"/>
      <c r="AL46" s="219"/>
      <c r="AM46" s="399"/>
      <c r="AN46" s="399"/>
      <c r="AO46" s="399"/>
      <c r="AP46" s="399"/>
    </row>
    <row r="47" spans="1:42" x14ac:dyDescent="0.25">
      <c r="A47" s="331"/>
      <c r="B47" s="48" t="s">
        <v>10</v>
      </c>
      <c r="C47" s="78" t="s">
        <v>76</v>
      </c>
      <c r="D47" s="79"/>
      <c r="E47" s="80" t="s">
        <v>77</v>
      </c>
      <c r="F47" s="180" t="s">
        <v>387</v>
      </c>
      <c r="G47" s="176">
        <v>8713469104937</v>
      </c>
      <c r="H47" s="13">
        <v>1</v>
      </c>
      <c r="I47" s="18">
        <v>2</v>
      </c>
      <c r="J47" s="22" t="s">
        <v>78</v>
      </c>
      <c r="K47" s="5" t="s">
        <v>26</v>
      </c>
      <c r="L47" s="200"/>
      <c r="M47" s="356" t="s">
        <v>19</v>
      </c>
      <c r="N47" s="354" t="s">
        <v>758</v>
      </c>
      <c r="O47" s="355">
        <v>67</v>
      </c>
      <c r="P47" s="355">
        <v>7.0999999999999994E-2</v>
      </c>
      <c r="Q47" s="355"/>
      <c r="R47" s="355">
        <v>30</v>
      </c>
      <c r="S47" s="355" t="s">
        <v>562</v>
      </c>
      <c r="T47" s="355" t="s">
        <v>562</v>
      </c>
      <c r="U47" s="355">
        <f t="shared" si="3"/>
        <v>0</v>
      </c>
      <c r="V47" s="355"/>
      <c r="W47" s="360" t="str">
        <f>IF(U47=0,"",COUNTIF(W$27:W46,"&gt;0")+1)</f>
        <v/>
      </c>
      <c r="X47" s="360" t="str">
        <f>IF(U47=0,"",COUNTIF(X$27:X46,"&gt;0")+1)</f>
        <v/>
      </c>
      <c r="Y47" s="355"/>
      <c r="Z47" s="359">
        <f t="shared" si="17"/>
        <v>3.5209999999999999</v>
      </c>
      <c r="AA47" s="359" t="str">
        <f t="shared" si="4"/>
        <v/>
      </c>
      <c r="AB47" s="359">
        <f t="shared" si="18"/>
        <v>3.5209999999999999</v>
      </c>
      <c r="AC47" s="355">
        <v>2.1000000000000001E-2</v>
      </c>
      <c r="AD47" s="355" t="str">
        <f t="shared" si="5"/>
        <v/>
      </c>
      <c r="AE47" s="355">
        <f t="shared" si="19"/>
        <v>9</v>
      </c>
      <c r="AF47" s="355" t="str">
        <f t="shared" si="20"/>
        <v/>
      </c>
      <c r="AG47" s="355">
        <f t="shared" si="21"/>
        <v>9</v>
      </c>
      <c r="AH47" s="355">
        <f t="shared" si="7"/>
        <v>0</v>
      </c>
      <c r="AI47" s="355"/>
      <c r="AJ47" s="219"/>
      <c r="AK47" s="219"/>
      <c r="AL47" s="219"/>
      <c r="AM47" s="399"/>
      <c r="AN47" s="399"/>
      <c r="AO47" s="399"/>
      <c r="AP47" s="399"/>
    </row>
    <row r="48" spans="1:42" x14ac:dyDescent="0.25">
      <c r="A48" s="331"/>
      <c r="B48" s="48" t="s">
        <v>10</v>
      </c>
      <c r="C48" s="78" t="s">
        <v>79</v>
      </c>
      <c r="D48" s="79"/>
      <c r="E48" s="80" t="s">
        <v>80</v>
      </c>
      <c r="F48" s="180" t="s">
        <v>387</v>
      </c>
      <c r="G48" s="176">
        <v>8713469104951</v>
      </c>
      <c r="H48" s="13">
        <v>1</v>
      </c>
      <c r="I48" s="13">
        <v>1</v>
      </c>
      <c r="J48" s="22" t="s">
        <v>81</v>
      </c>
      <c r="K48" s="5" t="s">
        <v>26</v>
      </c>
      <c r="L48" s="200"/>
      <c r="M48" s="356" t="s">
        <v>19</v>
      </c>
      <c r="N48" s="354" t="s">
        <v>759</v>
      </c>
      <c r="O48" s="355">
        <v>66</v>
      </c>
      <c r="P48" s="355">
        <v>7.0999999999999994E-2</v>
      </c>
      <c r="Q48" s="355"/>
      <c r="R48" s="355">
        <v>30</v>
      </c>
      <c r="S48" s="355" t="s">
        <v>562</v>
      </c>
      <c r="T48" s="355" t="s">
        <v>562</v>
      </c>
      <c r="U48" s="355">
        <f t="shared" si="3"/>
        <v>0</v>
      </c>
      <c r="V48" s="355"/>
      <c r="W48" s="360" t="str">
        <f>IF(U48=0,"",COUNTIF(W$27:W47,"&gt;0")+1)</f>
        <v/>
      </c>
      <c r="X48" s="360" t="str">
        <f>IF(U48=0,"",COUNTIF(X$27:X47,"&gt;0")+1)</f>
        <v/>
      </c>
      <c r="Y48" s="355"/>
      <c r="Z48" s="359">
        <f t="shared" si="17"/>
        <v>2.5219999999999998</v>
      </c>
      <c r="AA48" s="359" t="str">
        <f t="shared" si="4"/>
        <v/>
      </c>
      <c r="AB48" s="359">
        <f t="shared" si="18"/>
        <v>2.5219999999999998</v>
      </c>
      <c r="AC48" s="355">
        <v>2.1999999999999999E-2</v>
      </c>
      <c r="AD48" s="355" t="str">
        <f t="shared" si="5"/>
        <v/>
      </c>
      <c r="AE48" s="355">
        <f t="shared" si="19"/>
        <v>3</v>
      </c>
      <c r="AF48" s="355" t="str">
        <f t="shared" si="20"/>
        <v/>
      </c>
      <c r="AG48" s="355">
        <f t="shared" si="21"/>
        <v>3</v>
      </c>
      <c r="AH48" s="355">
        <f t="shared" si="7"/>
        <v>0</v>
      </c>
      <c r="AI48" s="355"/>
      <c r="AJ48" s="219"/>
      <c r="AK48" s="219"/>
      <c r="AL48" s="219"/>
      <c r="AM48" s="399"/>
      <c r="AN48" s="399"/>
      <c r="AO48" s="399"/>
      <c r="AP48" s="399"/>
    </row>
    <row r="49" spans="1:42" x14ac:dyDescent="0.25">
      <c r="A49" s="331"/>
      <c r="B49" s="48" t="s">
        <v>10</v>
      </c>
      <c r="C49" s="78" t="s">
        <v>82</v>
      </c>
      <c r="D49" s="79"/>
      <c r="E49" s="80" t="s">
        <v>83</v>
      </c>
      <c r="F49" s="180" t="s">
        <v>387</v>
      </c>
      <c r="G49" s="176">
        <v>8713469104975</v>
      </c>
      <c r="H49" s="19">
        <v>3</v>
      </c>
      <c r="I49" s="13">
        <v>1</v>
      </c>
      <c r="J49" s="22" t="s">
        <v>84</v>
      </c>
      <c r="K49" s="5" t="s">
        <v>26</v>
      </c>
      <c r="L49" s="200" t="s">
        <v>23</v>
      </c>
      <c r="M49" s="356" t="s">
        <v>19</v>
      </c>
      <c r="N49" s="354" t="s">
        <v>760</v>
      </c>
      <c r="O49" s="355">
        <v>49</v>
      </c>
      <c r="P49" s="355">
        <v>7.0999999999999994E-2</v>
      </c>
      <c r="Q49" s="355"/>
      <c r="R49" s="355">
        <v>30</v>
      </c>
      <c r="S49" s="355" t="s">
        <v>562</v>
      </c>
      <c r="T49" s="355" t="s">
        <v>562</v>
      </c>
      <c r="U49" s="355">
        <f t="shared" si="3"/>
        <v>0</v>
      </c>
      <c r="V49" s="355"/>
      <c r="W49" s="360" t="str">
        <f>IF(U49=0,"",COUNTIF(W$27:W48,"&gt;0")+1)</f>
        <v/>
      </c>
      <c r="X49" s="360" t="str">
        <f>IF(U49=0,"",COUNTIF(X$27:X48,"&gt;0")+1)</f>
        <v/>
      </c>
      <c r="Y49" s="355"/>
      <c r="Z49" s="359">
        <f t="shared" si="17"/>
        <v>5.5229999999999997</v>
      </c>
      <c r="AA49" s="359" t="str">
        <f t="shared" si="4"/>
        <v/>
      </c>
      <c r="AB49" s="359">
        <f t="shared" si="18"/>
        <v>5.5229999999999997</v>
      </c>
      <c r="AC49" s="355">
        <v>2.3E-2</v>
      </c>
      <c r="AD49" s="355" t="str">
        <f t="shared" si="5"/>
        <v/>
      </c>
      <c r="AE49" s="355">
        <f t="shared" si="19"/>
        <v>24</v>
      </c>
      <c r="AF49" s="355" t="str">
        <f t="shared" si="20"/>
        <v/>
      </c>
      <c r="AG49" s="355">
        <f t="shared" si="21"/>
        <v>23</v>
      </c>
      <c r="AH49" s="355">
        <f t="shared" si="7"/>
        <v>0</v>
      </c>
      <c r="AI49" s="355"/>
      <c r="AJ49" s="219"/>
      <c r="AK49" s="219"/>
      <c r="AL49" s="219"/>
      <c r="AM49" s="399"/>
      <c r="AN49" s="399"/>
      <c r="AO49" s="399"/>
      <c r="AP49" s="399"/>
    </row>
    <row r="50" spans="1:42" hidden="1" x14ac:dyDescent="0.25">
      <c r="A50" s="331"/>
      <c r="B50" s="48" t="s">
        <v>10</v>
      </c>
      <c r="C50" s="78" t="s">
        <v>85</v>
      </c>
      <c r="D50" s="79"/>
      <c r="E50" s="80" t="s">
        <v>86</v>
      </c>
      <c r="F50" s="180" t="s">
        <v>387</v>
      </c>
      <c r="G50" s="176">
        <v>8713469104999</v>
      </c>
      <c r="H50" s="18">
        <v>2</v>
      </c>
      <c r="I50" s="18">
        <v>2</v>
      </c>
      <c r="J50" s="51" t="s">
        <v>87</v>
      </c>
      <c r="K50" s="5" t="s">
        <v>26</v>
      </c>
      <c r="L50" s="200"/>
      <c r="M50" s="356" t="s">
        <v>30</v>
      </c>
      <c r="N50" s="354" t="s">
        <v>761</v>
      </c>
      <c r="O50" s="355"/>
      <c r="P50" s="355">
        <v>7.0999999999999994E-2</v>
      </c>
      <c r="Q50" s="355"/>
      <c r="R50" s="355">
        <v>30</v>
      </c>
      <c r="S50" s="355" t="s">
        <v>562</v>
      </c>
      <c r="T50" s="355" t="s">
        <v>562</v>
      </c>
      <c r="U50" s="355">
        <f t="shared" si="3"/>
        <v>0</v>
      </c>
      <c r="V50" s="355"/>
      <c r="W50" s="360" t="str">
        <f>IF(U50=0,"",COUNTIF(W$27:W49,"&gt;0")+1)</f>
        <v/>
      </c>
      <c r="X50" s="360" t="str">
        <f>IF(U50=0,"",COUNTIF(X$27:X49,"&gt;0")+1)</f>
        <v/>
      </c>
      <c r="Y50" s="355"/>
      <c r="Z50" s="359" t="str">
        <f t="shared" si="17"/>
        <v/>
      </c>
      <c r="AA50" s="359" t="str">
        <f t="shared" si="4"/>
        <v/>
      </c>
      <c r="AB50" s="359" t="str">
        <f t="shared" si="18"/>
        <v/>
      </c>
      <c r="AC50" s="355">
        <v>2.4E-2</v>
      </c>
      <c r="AD50" s="355" t="str">
        <f t="shared" si="5"/>
        <v>YES</v>
      </c>
      <c r="AE50" s="355" t="str">
        <f t="shared" si="19"/>
        <v/>
      </c>
      <c r="AF50" s="355" t="str">
        <f t="shared" si="20"/>
        <v/>
      </c>
      <c r="AG50" s="355" t="str">
        <f t="shared" si="21"/>
        <v/>
      </c>
      <c r="AH50" s="355">
        <f t="shared" si="7"/>
        <v>0</v>
      </c>
      <c r="AI50" s="355"/>
      <c r="AJ50" s="219"/>
      <c r="AK50" s="219"/>
      <c r="AL50" s="219"/>
      <c r="AM50" s="399"/>
      <c r="AN50" s="399"/>
      <c r="AO50" s="399"/>
      <c r="AP50" s="399"/>
    </row>
    <row r="51" spans="1:42" hidden="1" x14ac:dyDescent="0.25">
      <c r="A51" s="331"/>
      <c r="B51" s="48" t="s">
        <v>10</v>
      </c>
      <c r="C51" s="78" t="s">
        <v>523</v>
      </c>
      <c r="D51" s="79"/>
      <c r="E51" s="80" t="s">
        <v>88</v>
      </c>
      <c r="F51" s="180" t="s">
        <v>387</v>
      </c>
      <c r="G51" s="176">
        <v>8713469105002</v>
      </c>
      <c r="H51" s="13">
        <v>1</v>
      </c>
      <c r="I51" s="18">
        <v>2</v>
      </c>
      <c r="J51" s="108" t="s">
        <v>62</v>
      </c>
      <c r="K51" s="5" t="s">
        <v>26</v>
      </c>
      <c r="L51" s="200"/>
      <c r="M51" s="356" t="s">
        <v>30</v>
      </c>
      <c r="N51" s="354" t="s">
        <v>762</v>
      </c>
      <c r="O51" s="355"/>
      <c r="P51" s="355">
        <v>7.0999999999999994E-2</v>
      </c>
      <c r="Q51" s="355"/>
      <c r="R51" s="355">
        <v>30</v>
      </c>
      <c r="S51" s="355" t="s">
        <v>562</v>
      </c>
      <c r="T51" s="355" t="s">
        <v>562</v>
      </c>
      <c r="U51" s="355">
        <f t="shared" si="3"/>
        <v>0</v>
      </c>
      <c r="V51" s="355"/>
      <c r="W51" s="360" t="str">
        <f>IF(U51=0,"",COUNTIF(W$27:W50,"&gt;0")+1)</f>
        <v/>
      </c>
      <c r="X51" s="360" t="str">
        <f>IF(U51=0,"",COUNTIF(X$27:X50,"&gt;0")+1)</f>
        <v/>
      </c>
      <c r="Y51" s="355"/>
      <c r="Z51" s="359" t="str">
        <f t="shared" si="17"/>
        <v/>
      </c>
      <c r="AA51" s="359" t="str">
        <f t="shared" si="4"/>
        <v/>
      </c>
      <c r="AB51" s="359" t="str">
        <f t="shared" si="18"/>
        <v/>
      </c>
      <c r="AC51" s="355">
        <v>2.5000000000000001E-2</v>
      </c>
      <c r="AD51" s="355" t="str">
        <f t="shared" si="5"/>
        <v>YES</v>
      </c>
      <c r="AE51" s="355" t="str">
        <f t="shared" si="19"/>
        <v/>
      </c>
      <c r="AF51" s="355" t="str">
        <f t="shared" si="20"/>
        <v/>
      </c>
      <c r="AG51" s="355" t="str">
        <f t="shared" si="21"/>
        <v/>
      </c>
      <c r="AH51" s="355">
        <f t="shared" si="7"/>
        <v>0</v>
      </c>
      <c r="AI51" s="355"/>
      <c r="AJ51" s="219"/>
      <c r="AK51" s="219"/>
      <c r="AL51" s="219"/>
      <c r="AM51" s="399"/>
      <c r="AN51" s="399"/>
      <c r="AO51" s="399"/>
      <c r="AP51" s="399"/>
    </row>
    <row r="52" spans="1:42" hidden="1" x14ac:dyDescent="0.25">
      <c r="A52" s="331"/>
      <c r="B52" s="48" t="s">
        <v>10</v>
      </c>
      <c r="C52" s="78" t="s">
        <v>89</v>
      </c>
      <c r="D52" s="79"/>
      <c r="E52" s="80" t="s">
        <v>90</v>
      </c>
      <c r="F52" s="180" t="s">
        <v>387</v>
      </c>
      <c r="G52" s="176">
        <v>8713469105033</v>
      </c>
      <c r="H52" s="18">
        <v>2</v>
      </c>
      <c r="I52" s="13">
        <v>1</v>
      </c>
      <c r="J52" s="22" t="s">
        <v>91</v>
      </c>
      <c r="K52" s="5">
        <v>1</v>
      </c>
      <c r="L52" s="200"/>
      <c r="M52" s="356" t="s">
        <v>30</v>
      </c>
      <c r="N52" s="354" t="s">
        <v>763</v>
      </c>
      <c r="O52" s="355"/>
      <c r="P52" s="355">
        <v>7.0999999999999994E-2</v>
      </c>
      <c r="Q52" s="355"/>
      <c r="R52" s="355">
        <v>35</v>
      </c>
      <c r="S52" s="355" t="s">
        <v>562</v>
      </c>
      <c r="T52" s="355" t="s">
        <v>562</v>
      </c>
      <c r="U52" s="355">
        <f t="shared" si="3"/>
        <v>0</v>
      </c>
      <c r="V52" s="355"/>
      <c r="W52" s="360" t="str">
        <f>IF(U52=0,"",COUNTIF(W$27:W51,"&gt;0")+1)</f>
        <v/>
      </c>
      <c r="X52" s="360" t="str">
        <f>IF(U52=0,"",COUNTIF(X$27:X51,"&gt;0")+1)</f>
        <v/>
      </c>
      <c r="Y52" s="355"/>
      <c r="Z52" s="359" t="str">
        <f t="shared" si="17"/>
        <v/>
      </c>
      <c r="AA52" s="359" t="str">
        <f t="shared" si="4"/>
        <v/>
      </c>
      <c r="AB52" s="359" t="str">
        <f t="shared" si="18"/>
        <v/>
      </c>
      <c r="AC52" s="355">
        <v>2.5999999999999999E-2</v>
      </c>
      <c r="AD52" s="355" t="str">
        <f t="shared" si="5"/>
        <v>YES</v>
      </c>
      <c r="AE52" s="355" t="str">
        <f t="shared" si="19"/>
        <v/>
      </c>
      <c r="AF52" s="355" t="str">
        <f t="shared" si="20"/>
        <v/>
      </c>
      <c r="AG52" s="355" t="str">
        <f t="shared" si="21"/>
        <v/>
      </c>
      <c r="AH52" s="355">
        <f t="shared" si="7"/>
        <v>0</v>
      </c>
      <c r="AI52" s="355"/>
      <c r="AJ52" s="219"/>
      <c r="AK52" s="219"/>
      <c r="AL52" s="219"/>
      <c r="AM52" s="399"/>
      <c r="AN52" s="399"/>
      <c r="AO52" s="399"/>
      <c r="AP52" s="399"/>
    </row>
    <row r="53" spans="1:42" hidden="1" x14ac:dyDescent="0.25">
      <c r="A53" s="331"/>
      <c r="B53" s="48" t="s">
        <v>10</v>
      </c>
      <c r="C53" s="78" t="s">
        <v>92</v>
      </c>
      <c r="D53" s="79"/>
      <c r="E53" s="80" t="s">
        <v>93</v>
      </c>
      <c r="F53" s="180" t="s">
        <v>387</v>
      </c>
      <c r="G53" s="176">
        <v>8713469804790</v>
      </c>
      <c r="H53" s="18">
        <v>2</v>
      </c>
      <c r="I53" s="13">
        <v>1</v>
      </c>
      <c r="J53" s="22" t="s">
        <v>94</v>
      </c>
      <c r="K53" s="5">
        <v>1</v>
      </c>
      <c r="L53" s="200"/>
      <c r="M53" s="356" t="s">
        <v>30</v>
      </c>
      <c r="N53" s="354" t="s">
        <v>764</v>
      </c>
      <c r="O53" s="355"/>
      <c r="P53" s="355">
        <v>7.0999999999999994E-2</v>
      </c>
      <c r="Q53" s="355"/>
      <c r="R53" s="355">
        <v>30</v>
      </c>
      <c r="S53" s="355" t="s">
        <v>562</v>
      </c>
      <c r="T53" s="355" t="s">
        <v>562</v>
      </c>
      <c r="U53" s="355">
        <f t="shared" si="3"/>
        <v>0</v>
      </c>
      <c r="V53" s="355"/>
      <c r="W53" s="360" t="str">
        <f>IF(U53=0,"",COUNTIF(W$27:W52,"&gt;0")+1)</f>
        <v/>
      </c>
      <c r="X53" s="360" t="str">
        <f>IF(U53=0,"",COUNTIF(X$27:X52,"&gt;0")+1)</f>
        <v/>
      </c>
      <c r="Y53" s="355"/>
      <c r="Z53" s="359" t="str">
        <f t="shared" si="17"/>
        <v/>
      </c>
      <c r="AA53" s="359" t="str">
        <f t="shared" si="4"/>
        <v/>
      </c>
      <c r="AB53" s="359" t="str">
        <f t="shared" si="18"/>
        <v/>
      </c>
      <c r="AC53" s="355">
        <v>2.7E-2</v>
      </c>
      <c r="AD53" s="355" t="str">
        <f t="shared" si="5"/>
        <v>YES</v>
      </c>
      <c r="AE53" s="355" t="str">
        <f t="shared" si="19"/>
        <v/>
      </c>
      <c r="AF53" s="355" t="str">
        <f t="shared" si="20"/>
        <v/>
      </c>
      <c r="AG53" s="355" t="str">
        <f t="shared" si="21"/>
        <v/>
      </c>
      <c r="AH53" s="355">
        <f t="shared" si="7"/>
        <v>0</v>
      </c>
      <c r="AI53" s="355"/>
      <c r="AJ53" s="219"/>
      <c r="AK53" s="219"/>
      <c r="AL53" s="219"/>
      <c r="AM53" s="399"/>
      <c r="AN53" s="399"/>
      <c r="AO53" s="399"/>
      <c r="AP53" s="399"/>
    </row>
    <row r="54" spans="1:42" x14ac:dyDescent="0.25">
      <c r="A54" s="353"/>
      <c r="B54" s="48" t="s">
        <v>10</v>
      </c>
      <c r="C54" s="155" t="s">
        <v>343</v>
      </c>
      <c r="D54" s="152"/>
      <c r="E54" s="137" t="s">
        <v>372</v>
      </c>
      <c r="F54" s="181" t="s">
        <v>387</v>
      </c>
      <c r="G54" s="176">
        <v>8713469105057</v>
      </c>
      <c r="H54" s="19">
        <v>3</v>
      </c>
      <c r="I54" s="18">
        <v>2</v>
      </c>
      <c r="J54" s="135" t="s">
        <v>373</v>
      </c>
      <c r="K54" s="5" t="s">
        <v>26</v>
      </c>
      <c r="L54" s="200" t="s">
        <v>23</v>
      </c>
      <c r="M54" s="356" t="s">
        <v>19</v>
      </c>
      <c r="N54" s="355" t="s">
        <v>765</v>
      </c>
      <c r="O54" s="355">
        <v>50</v>
      </c>
      <c r="P54" s="355">
        <v>7.0999999999999994E-2</v>
      </c>
      <c r="Q54" s="355"/>
      <c r="R54" s="355">
        <v>30</v>
      </c>
      <c r="S54" s="355" t="s">
        <v>562</v>
      </c>
      <c r="T54" s="355" t="s">
        <v>562</v>
      </c>
      <c r="U54" s="355">
        <f t="shared" si="3"/>
        <v>0</v>
      </c>
      <c r="V54" s="355"/>
      <c r="W54" s="360" t="str">
        <f>IF(U54=0,"",COUNTIF(W$27:W53,"&gt;0")+1)</f>
        <v/>
      </c>
      <c r="X54" s="360" t="str">
        <f>IF(U54=0,"",COUNTIF(X$27:X53,"&gt;0")+1)</f>
        <v/>
      </c>
      <c r="Y54" s="355"/>
      <c r="Z54" s="359">
        <f t="shared" si="17"/>
        <v>6.5279999999999996</v>
      </c>
      <c r="AA54" s="359" t="str">
        <f t="shared" si="4"/>
        <v/>
      </c>
      <c r="AB54" s="359">
        <f t="shared" si="18"/>
        <v>6.5279999999999996</v>
      </c>
      <c r="AC54" s="355">
        <v>2.8000000000000001E-2</v>
      </c>
      <c r="AD54" s="355" t="str">
        <f t="shared" si="5"/>
        <v/>
      </c>
      <c r="AE54" s="355">
        <f t="shared" si="19"/>
        <v>32</v>
      </c>
      <c r="AF54" s="355" t="str">
        <f t="shared" si="20"/>
        <v/>
      </c>
      <c r="AG54" s="355">
        <f t="shared" si="21"/>
        <v>30</v>
      </c>
      <c r="AH54" s="355">
        <f t="shared" si="7"/>
        <v>0</v>
      </c>
      <c r="AI54" s="355"/>
      <c r="AJ54" s="219"/>
      <c r="AK54" s="219"/>
      <c r="AL54" s="219"/>
      <c r="AM54" s="399"/>
      <c r="AN54" s="399"/>
      <c r="AO54" s="399"/>
      <c r="AP54" s="399"/>
    </row>
    <row r="55" spans="1:42" x14ac:dyDescent="0.25">
      <c r="A55" s="331"/>
      <c r="B55" s="48" t="s">
        <v>10</v>
      </c>
      <c r="C55" s="78" t="s">
        <v>95</v>
      </c>
      <c r="D55" s="79"/>
      <c r="E55" s="80" t="s">
        <v>96</v>
      </c>
      <c r="F55" s="180" t="s">
        <v>387</v>
      </c>
      <c r="G55" s="176">
        <v>8713469105095</v>
      </c>
      <c r="H55" s="13">
        <v>1</v>
      </c>
      <c r="I55" s="19">
        <v>3</v>
      </c>
      <c r="J55" s="22" t="s">
        <v>97</v>
      </c>
      <c r="K55" s="5" t="s">
        <v>26</v>
      </c>
      <c r="L55" s="200" t="s">
        <v>23</v>
      </c>
      <c r="M55" s="356" t="s">
        <v>19</v>
      </c>
      <c r="N55" s="354" t="s">
        <v>766</v>
      </c>
      <c r="O55" s="355">
        <v>51</v>
      </c>
      <c r="P55" s="355">
        <v>7.0999999999999994E-2</v>
      </c>
      <c r="Q55" s="355"/>
      <c r="R55" s="355">
        <v>30</v>
      </c>
      <c r="S55" s="355" t="s">
        <v>562</v>
      </c>
      <c r="T55" s="355" t="s">
        <v>562</v>
      </c>
      <c r="U55" s="355">
        <f t="shared" si="3"/>
        <v>0</v>
      </c>
      <c r="V55" s="355"/>
      <c r="W55" s="360" t="str">
        <f>IF(U55=0,"",COUNTIF(W$27:W54,"&gt;0")+1)</f>
        <v/>
      </c>
      <c r="X55" s="360" t="str">
        <f>IF(U55=0,"",COUNTIF(X$27:X54,"&gt;0")+1)</f>
        <v/>
      </c>
      <c r="Y55" s="355"/>
      <c r="Z55" s="359">
        <f t="shared" si="17"/>
        <v>4.5289999999999999</v>
      </c>
      <c r="AA55" s="359" t="str">
        <f t="shared" si="4"/>
        <v/>
      </c>
      <c r="AB55" s="359">
        <f t="shared" si="18"/>
        <v>4.5289999999999999</v>
      </c>
      <c r="AC55" s="355">
        <v>2.9000000000000001E-2</v>
      </c>
      <c r="AD55" s="355" t="str">
        <f t="shared" si="5"/>
        <v/>
      </c>
      <c r="AE55" s="355">
        <f t="shared" si="19"/>
        <v>18</v>
      </c>
      <c r="AF55" s="355" t="str">
        <f t="shared" si="20"/>
        <v/>
      </c>
      <c r="AG55" s="355">
        <f t="shared" si="21"/>
        <v>18</v>
      </c>
      <c r="AH55" s="355">
        <f t="shared" si="7"/>
        <v>0</v>
      </c>
      <c r="AI55" s="355"/>
      <c r="AJ55" s="219"/>
      <c r="AK55" s="219"/>
      <c r="AL55" s="219"/>
      <c r="AM55" s="399"/>
      <c r="AN55" s="399"/>
      <c r="AO55" s="399"/>
      <c r="AP55" s="399"/>
    </row>
    <row r="56" spans="1:42" x14ac:dyDescent="0.25">
      <c r="A56" s="331"/>
      <c r="B56" s="48" t="s">
        <v>10</v>
      </c>
      <c r="C56" s="78" t="s">
        <v>98</v>
      </c>
      <c r="D56" s="79"/>
      <c r="E56" s="80" t="s">
        <v>99</v>
      </c>
      <c r="F56" s="180" t="s">
        <v>387</v>
      </c>
      <c r="G56" s="176">
        <v>8713469105101</v>
      </c>
      <c r="H56" s="13">
        <v>1</v>
      </c>
      <c r="I56" s="18">
        <v>2</v>
      </c>
      <c r="J56" s="22" t="s">
        <v>100</v>
      </c>
      <c r="K56" s="5" t="s">
        <v>26</v>
      </c>
      <c r="L56" s="200"/>
      <c r="M56" s="356" t="s">
        <v>19</v>
      </c>
      <c r="N56" s="354" t="s">
        <v>767</v>
      </c>
      <c r="O56" s="355">
        <v>52</v>
      </c>
      <c r="P56" s="355">
        <v>7.0999999999999994E-2</v>
      </c>
      <c r="Q56" s="355"/>
      <c r="R56" s="355">
        <v>30</v>
      </c>
      <c r="S56" s="355" t="s">
        <v>562</v>
      </c>
      <c r="T56" s="355" t="s">
        <v>562</v>
      </c>
      <c r="U56" s="355">
        <f t="shared" si="3"/>
        <v>0</v>
      </c>
      <c r="V56" s="355"/>
      <c r="W56" s="360" t="str">
        <f>IF(U56=0,"",COUNTIF(W$27:W55,"&gt;0")+1)</f>
        <v/>
      </c>
      <c r="X56" s="360" t="str">
        <f>IF(U56=0,"",COUNTIF(X$27:X55,"&gt;0")+1)</f>
        <v/>
      </c>
      <c r="Y56" s="355"/>
      <c r="Z56" s="359">
        <f t="shared" si="17"/>
        <v>3.53</v>
      </c>
      <c r="AA56" s="359" t="str">
        <f t="shared" si="4"/>
        <v/>
      </c>
      <c r="AB56" s="359">
        <f t="shared" si="18"/>
        <v>3.53</v>
      </c>
      <c r="AC56" s="355">
        <v>0.03</v>
      </c>
      <c r="AD56" s="355" t="str">
        <f t="shared" si="5"/>
        <v/>
      </c>
      <c r="AE56" s="355">
        <f t="shared" si="19"/>
        <v>10</v>
      </c>
      <c r="AF56" s="355" t="str">
        <f t="shared" si="20"/>
        <v/>
      </c>
      <c r="AG56" s="355">
        <f t="shared" si="21"/>
        <v>10</v>
      </c>
      <c r="AH56" s="355">
        <f t="shared" si="7"/>
        <v>0</v>
      </c>
      <c r="AI56" s="355"/>
      <c r="AJ56" s="219"/>
      <c r="AK56" s="219"/>
      <c r="AL56" s="219"/>
      <c r="AM56" s="399"/>
      <c r="AN56" s="399"/>
      <c r="AO56" s="399"/>
      <c r="AP56" s="399"/>
    </row>
    <row r="57" spans="1:42" hidden="1" x14ac:dyDescent="0.25">
      <c r="A57" s="331"/>
      <c r="B57" s="48" t="s">
        <v>10</v>
      </c>
      <c r="C57" s="78" t="s">
        <v>101</v>
      </c>
      <c r="D57" s="79"/>
      <c r="E57" s="80" t="s">
        <v>102</v>
      </c>
      <c r="F57" s="180" t="s">
        <v>387</v>
      </c>
      <c r="G57" s="176">
        <v>8713469105132</v>
      </c>
      <c r="H57" s="13">
        <v>1</v>
      </c>
      <c r="I57" s="13">
        <v>1</v>
      </c>
      <c r="J57" s="22" t="s">
        <v>103</v>
      </c>
      <c r="K57" s="5" t="s">
        <v>26</v>
      </c>
      <c r="L57" s="200" t="s">
        <v>23</v>
      </c>
      <c r="M57" s="356" t="s">
        <v>30</v>
      </c>
      <c r="N57" s="354" t="s">
        <v>768</v>
      </c>
      <c r="O57" s="355"/>
      <c r="P57" s="355">
        <v>7.0999999999999994E-2</v>
      </c>
      <c r="Q57" s="355"/>
      <c r="R57" s="355">
        <v>35</v>
      </c>
      <c r="S57" s="355" t="s">
        <v>562</v>
      </c>
      <c r="T57" s="355" t="s">
        <v>562</v>
      </c>
      <c r="U57" s="355">
        <f t="shared" si="3"/>
        <v>0</v>
      </c>
      <c r="V57" s="355"/>
      <c r="W57" s="360" t="str">
        <f>IF(U57=0,"",COUNTIF(W$27:W56,"&gt;0")+1)</f>
        <v/>
      </c>
      <c r="X57" s="360" t="str">
        <f>IF(U57=0,"",COUNTIF(X$27:X56,"&gt;0")+1)</f>
        <v/>
      </c>
      <c r="Y57" s="355"/>
      <c r="Z57" s="359" t="str">
        <f t="shared" si="17"/>
        <v/>
      </c>
      <c r="AA57" s="359" t="str">
        <f t="shared" si="4"/>
        <v/>
      </c>
      <c r="AB57" s="359" t="str">
        <f t="shared" si="18"/>
        <v/>
      </c>
      <c r="AC57" s="355">
        <v>3.1E-2</v>
      </c>
      <c r="AD57" s="355" t="str">
        <f t="shared" si="5"/>
        <v>YES</v>
      </c>
      <c r="AE57" s="355" t="str">
        <f t="shared" si="19"/>
        <v/>
      </c>
      <c r="AF57" s="355" t="str">
        <f t="shared" si="20"/>
        <v/>
      </c>
      <c r="AG57" s="355" t="str">
        <f t="shared" si="21"/>
        <v/>
      </c>
      <c r="AH57" s="355">
        <f t="shared" si="7"/>
        <v>0</v>
      </c>
      <c r="AI57" s="355"/>
      <c r="AJ57" s="219"/>
      <c r="AK57" s="219"/>
      <c r="AL57" s="219"/>
      <c r="AM57" s="399"/>
      <c r="AN57" s="399"/>
      <c r="AO57" s="399"/>
      <c r="AP57" s="399"/>
    </row>
    <row r="58" spans="1:42" x14ac:dyDescent="0.25">
      <c r="A58" s="331"/>
      <c r="B58" s="48" t="s">
        <v>10</v>
      </c>
      <c r="C58" s="78" t="s">
        <v>525</v>
      </c>
      <c r="D58" s="79"/>
      <c r="E58" s="80" t="s">
        <v>107</v>
      </c>
      <c r="F58" s="180" t="s">
        <v>387</v>
      </c>
      <c r="G58" s="176">
        <v>8713469804806</v>
      </c>
      <c r="H58" s="19">
        <v>3</v>
      </c>
      <c r="I58" s="13">
        <v>1</v>
      </c>
      <c r="J58" s="22" t="s">
        <v>108</v>
      </c>
      <c r="K58" s="5" t="s">
        <v>26</v>
      </c>
      <c r="L58" s="200"/>
      <c r="M58" s="356" t="s">
        <v>19</v>
      </c>
      <c r="N58" s="354" t="s">
        <v>770</v>
      </c>
      <c r="O58" s="355">
        <v>53</v>
      </c>
      <c r="P58" s="355">
        <v>7.0999999999999994E-2</v>
      </c>
      <c r="Q58" s="355"/>
      <c r="R58" s="355">
        <v>30</v>
      </c>
      <c r="S58" s="355" t="s">
        <v>562</v>
      </c>
      <c r="T58" s="355" t="s">
        <v>562</v>
      </c>
      <c r="U58" s="355">
        <f t="shared" si="3"/>
        <v>0</v>
      </c>
      <c r="V58" s="355"/>
      <c r="W58" s="360" t="str">
        <f>IF(U58=0,"",COUNTIF(W$27:W57,"&gt;0")+1)</f>
        <v/>
      </c>
      <c r="X58" s="360" t="str">
        <f>IF(U58=0,"",COUNTIF(X$27:X57,"&gt;0")+1)</f>
        <v/>
      </c>
      <c r="Y58" s="355"/>
      <c r="Z58" s="359">
        <f t="shared" si="17"/>
        <v>5.532</v>
      </c>
      <c r="AA58" s="359" t="str">
        <f t="shared" si="4"/>
        <v/>
      </c>
      <c r="AB58" s="359">
        <f t="shared" si="18"/>
        <v>5.532</v>
      </c>
      <c r="AC58" s="355">
        <v>3.2000000000000001E-2</v>
      </c>
      <c r="AD58" s="355" t="str">
        <f t="shared" si="5"/>
        <v/>
      </c>
      <c r="AE58" s="355">
        <f t="shared" si="19"/>
        <v>25</v>
      </c>
      <c r="AF58" s="355" t="str">
        <f t="shared" si="20"/>
        <v/>
      </c>
      <c r="AG58" s="355">
        <f t="shared" si="21"/>
        <v>24</v>
      </c>
      <c r="AH58" s="355">
        <f t="shared" si="7"/>
        <v>0</v>
      </c>
      <c r="AI58" s="355"/>
      <c r="AJ58" s="219"/>
      <c r="AK58" s="219"/>
      <c r="AL58" s="219"/>
      <c r="AM58" s="399"/>
      <c r="AN58" s="399"/>
      <c r="AO58" s="399"/>
      <c r="AP58" s="399"/>
    </row>
    <row r="59" spans="1:42" x14ac:dyDescent="0.25">
      <c r="A59" s="331"/>
      <c r="B59" s="48" t="s">
        <v>10</v>
      </c>
      <c r="C59" s="78" t="s">
        <v>106</v>
      </c>
      <c r="D59" s="79"/>
      <c r="E59" s="80" t="s">
        <v>104</v>
      </c>
      <c r="F59" s="180" t="s">
        <v>389</v>
      </c>
      <c r="G59" s="176">
        <v>8713469809788</v>
      </c>
      <c r="H59" s="19">
        <v>3</v>
      </c>
      <c r="I59" s="13">
        <v>1</v>
      </c>
      <c r="J59" s="22" t="s">
        <v>105</v>
      </c>
      <c r="K59" s="5" t="s">
        <v>26</v>
      </c>
      <c r="L59" s="200"/>
      <c r="M59" s="356" t="s">
        <v>19</v>
      </c>
      <c r="N59" s="354" t="s">
        <v>769</v>
      </c>
      <c r="O59" s="355">
        <v>54</v>
      </c>
      <c r="P59" s="355">
        <v>7.0999999999999994E-2</v>
      </c>
      <c r="Q59" s="355"/>
      <c r="R59" s="355">
        <v>40</v>
      </c>
      <c r="S59" s="355" t="s">
        <v>562</v>
      </c>
      <c r="T59" s="355" t="s">
        <v>562</v>
      </c>
      <c r="U59" s="355">
        <f t="shared" si="3"/>
        <v>0</v>
      </c>
      <c r="V59" s="355"/>
      <c r="W59" s="360" t="str">
        <f>IF(U59=0,"",COUNTIF(W$27:W58,"&gt;0")+1)</f>
        <v/>
      </c>
      <c r="X59" s="360" t="str">
        <f>IF(U59=0,"",COUNTIF(X$27:X58,"&gt;0")+1)</f>
        <v/>
      </c>
      <c r="Y59" s="355"/>
      <c r="Z59" s="359">
        <f t="shared" si="17"/>
        <v>5.5330000000000004</v>
      </c>
      <c r="AA59" s="359" t="str">
        <f t="shared" si="4"/>
        <v/>
      </c>
      <c r="AB59" s="359">
        <f t="shared" si="18"/>
        <v>5.5330000000000004</v>
      </c>
      <c r="AC59" s="355">
        <v>3.3000000000000002E-2</v>
      </c>
      <c r="AD59" s="355" t="str">
        <f t="shared" si="5"/>
        <v/>
      </c>
      <c r="AE59" s="355">
        <f t="shared" si="19"/>
        <v>26</v>
      </c>
      <c r="AF59" s="355" t="str">
        <f t="shared" si="20"/>
        <v/>
      </c>
      <c r="AG59" s="355">
        <f t="shared" si="21"/>
        <v>25</v>
      </c>
      <c r="AH59" s="355">
        <f t="shared" si="7"/>
        <v>0</v>
      </c>
      <c r="AI59" s="355"/>
      <c r="AJ59" s="219"/>
      <c r="AK59" s="219"/>
      <c r="AL59" s="219"/>
      <c r="AM59" s="399"/>
      <c r="AN59" s="399"/>
      <c r="AO59" s="399"/>
      <c r="AP59" s="399"/>
    </row>
    <row r="60" spans="1:42" x14ac:dyDescent="0.25">
      <c r="A60" s="331"/>
      <c r="B60" s="48" t="s">
        <v>10</v>
      </c>
      <c r="C60" s="78" t="s">
        <v>109</v>
      </c>
      <c r="D60" s="79"/>
      <c r="E60" s="80" t="s">
        <v>110</v>
      </c>
      <c r="F60" s="180" t="s">
        <v>387</v>
      </c>
      <c r="G60" s="176">
        <v>8713469105149</v>
      </c>
      <c r="H60" s="13">
        <v>1</v>
      </c>
      <c r="I60" s="13">
        <v>1</v>
      </c>
      <c r="J60" s="22" t="s">
        <v>111</v>
      </c>
      <c r="K60" s="5" t="s">
        <v>26</v>
      </c>
      <c r="L60" s="200" t="s">
        <v>23</v>
      </c>
      <c r="M60" s="356" t="s">
        <v>19</v>
      </c>
      <c r="N60" s="354" t="s">
        <v>771</v>
      </c>
      <c r="O60" s="355">
        <v>65</v>
      </c>
      <c r="P60" s="355">
        <v>7.0999999999999994E-2</v>
      </c>
      <c r="Q60" s="355"/>
      <c r="R60" s="355">
        <v>30</v>
      </c>
      <c r="S60" s="355" t="s">
        <v>562</v>
      </c>
      <c r="T60" s="355" t="s">
        <v>562</v>
      </c>
      <c r="U60" s="355">
        <f t="shared" si="3"/>
        <v>0</v>
      </c>
      <c r="V60" s="355"/>
      <c r="W60" s="360" t="str">
        <f>IF(U60=0,"",COUNTIF(W$27:W59,"&gt;0")+1)</f>
        <v/>
      </c>
      <c r="X60" s="360" t="str">
        <f>IF(U60=0,"",COUNTIF(X$27:X59,"&gt;0")+1)</f>
        <v/>
      </c>
      <c r="Y60" s="355"/>
      <c r="Z60" s="359">
        <f t="shared" si="17"/>
        <v>2.5339999999999998</v>
      </c>
      <c r="AA60" s="359" t="str">
        <f t="shared" si="4"/>
        <v/>
      </c>
      <c r="AB60" s="359">
        <f t="shared" si="18"/>
        <v>2.5339999999999998</v>
      </c>
      <c r="AC60" s="355">
        <v>3.4000000000000002E-2</v>
      </c>
      <c r="AD60" s="355" t="str">
        <f t="shared" si="5"/>
        <v/>
      </c>
      <c r="AE60" s="355">
        <f t="shared" si="19"/>
        <v>4</v>
      </c>
      <c r="AF60" s="355" t="str">
        <f t="shared" si="20"/>
        <v/>
      </c>
      <c r="AG60" s="355">
        <f t="shared" si="21"/>
        <v>4</v>
      </c>
      <c r="AH60" s="355">
        <f t="shared" si="7"/>
        <v>0</v>
      </c>
      <c r="AI60" s="355"/>
      <c r="AJ60" s="219"/>
      <c r="AK60" s="219"/>
      <c r="AL60" s="219"/>
      <c r="AM60" s="399"/>
      <c r="AN60" s="399"/>
      <c r="AO60" s="399"/>
      <c r="AP60" s="399"/>
    </row>
    <row r="61" spans="1:42" x14ac:dyDescent="0.25">
      <c r="A61" s="331"/>
      <c r="B61" s="48" t="s">
        <v>10</v>
      </c>
      <c r="C61" s="78" t="s">
        <v>112</v>
      </c>
      <c r="D61" s="79"/>
      <c r="E61" s="80" t="s">
        <v>113</v>
      </c>
      <c r="F61" s="180" t="s">
        <v>387</v>
      </c>
      <c r="G61" s="176">
        <v>8713469814140</v>
      </c>
      <c r="H61" s="18">
        <v>2</v>
      </c>
      <c r="I61" s="13">
        <v>1</v>
      </c>
      <c r="J61" s="22" t="s">
        <v>114</v>
      </c>
      <c r="K61" s="5" t="s">
        <v>26</v>
      </c>
      <c r="L61" s="200" t="s">
        <v>23</v>
      </c>
      <c r="M61" s="356" t="s">
        <v>19</v>
      </c>
      <c r="N61" s="354" t="s">
        <v>772</v>
      </c>
      <c r="O61" s="355">
        <v>55</v>
      </c>
      <c r="P61" s="355">
        <v>7.0999999999999994E-2</v>
      </c>
      <c r="Q61" s="355"/>
      <c r="R61" s="355">
        <v>35</v>
      </c>
      <c r="S61" s="355" t="s">
        <v>562</v>
      </c>
      <c r="T61" s="355" t="s">
        <v>562</v>
      </c>
      <c r="U61" s="355">
        <f t="shared" ref="U61:U76" si="22">A61+AH61</f>
        <v>0</v>
      </c>
      <c r="V61" s="355"/>
      <c r="W61" s="360" t="str">
        <f>IF(U61=0,"",COUNTIF(W$27:W60,"&gt;0")+1)</f>
        <v/>
      </c>
      <c r="X61" s="360" t="str">
        <f>IF(U61=0,"",COUNTIF(X$27:X60,"&gt;0")+1)</f>
        <v/>
      </c>
      <c r="Y61" s="355"/>
      <c r="Z61" s="359">
        <f t="shared" si="17"/>
        <v>4.0350000000000001</v>
      </c>
      <c r="AA61" s="359" t="str">
        <f t="shared" si="4"/>
        <v/>
      </c>
      <c r="AB61" s="359">
        <f t="shared" si="18"/>
        <v>4.0350000000000001</v>
      </c>
      <c r="AC61" s="355">
        <v>3.5000000000000003E-2</v>
      </c>
      <c r="AD61" s="355" t="str">
        <f t="shared" si="5"/>
        <v/>
      </c>
      <c r="AE61" s="355">
        <f t="shared" si="19"/>
        <v>17</v>
      </c>
      <c r="AF61" s="355" t="str">
        <f t="shared" si="20"/>
        <v/>
      </c>
      <c r="AG61" s="355">
        <f t="shared" si="21"/>
        <v>17</v>
      </c>
      <c r="AH61" s="355">
        <f t="shared" si="7"/>
        <v>0</v>
      </c>
      <c r="AI61" s="355"/>
      <c r="AJ61" s="219"/>
      <c r="AK61" s="219"/>
      <c r="AL61" s="219"/>
      <c r="AM61" s="399"/>
      <c r="AN61" s="399"/>
      <c r="AO61" s="399"/>
      <c r="AP61" s="399"/>
    </row>
    <row r="62" spans="1:42" hidden="1" x14ac:dyDescent="0.25">
      <c r="A62" s="331"/>
      <c r="B62" s="48" t="s">
        <v>10</v>
      </c>
      <c r="C62" s="78" t="s">
        <v>115</v>
      </c>
      <c r="D62" s="79"/>
      <c r="E62" s="80" t="s">
        <v>116</v>
      </c>
      <c r="F62" s="180" t="s">
        <v>387</v>
      </c>
      <c r="G62" s="176">
        <v>8713469105194</v>
      </c>
      <c r="H62" s="19">
        <v>3</v>
      </c>
      <c r="I62" s="18">
        <v>2</v>
      </c>
      <c r="J62" s="22" t="s">
        <v>117</v>
      </c>
      <c r="K62" s="5" t="s">
        <v>26</v>
      </c>
      <c r="L62" s="200"/>
      <c r="M62" s="356" t="s">
        <v>30</v>
      </c>
      <c r="N62" s="354" t="s">
        <v>773</v>
      </c>
      <c r="O62" s="355"/>
      <c r="P62" s="355">
        <v>7.0999999999999994E-2</v>
      </c>
      <c r="Q62" s="355"/>
      <c r="R62" s="355">
        <v>30</v>
      </c>
      <c r="S62" s="355" t="s">
        <v>562</v>
      </c>
      <c r="T62" s="355" t="s">
        <v>562</v>
      </c>
      <c r="U62" s="355">
        <f t="shared" si="22"/>
        <v>0</v>
      </c>
      <c r="V62" s="355"/>
      <c r="W62" s="360" t="str">
        <f>IF(U62=0,"",COUNTIF(W$27:W61,"&gt;0")+1)</f>
        <v/>
      </c>
      <c r="X62" s="360" t="str">
        <f>IF(U62=0,"",COUNTIF(X$27:X61,"&gt;0")+1)</f>
        <v/>
      </c>
      <c r="Y62" s="355"/>
      <c r="Z62" s="359" t="str">
        <f t="shared" si="17"/>
        <v/>
      </c>
      <c r="AA62" s="359" t="str">
        <f t="shared" si="4"/>
        <v/>
      </c>
      <c r="AB62" s="359" t="str">
        <f t="shared" si="18"/>
        <v/>
      </c>
      <c r="AC62" s="355">
        <v>3.5999999999999997E-2</v>
      </c>
      <c r="AD62" s="355" t="str">
        <f t="shared" si="5"/>
        <v>YES</v>
      </c>
      <c r="AE62" s="355" t="str">
        <f t="shared" si="19"/>
        <v/>
      </c>
      <c r="AF62" s="355" t="str">
        <f t="shared" si="20"/>
        <v/>
      </c>
      <c r="AG62" s="355" t="str">
        <f t="shared" si="21"/>
        <v/>
      </c>
      <c r="AH62" s="355">
        <f t="shared" si="7"/>
        <v>0</v>
      </c>
      <c r="AI62" s="355"/>
      <c r="AJ62" s="219"/>
      <c r="AK62" s="219"/>
      <c r="AL62" s="219"/>
      <c r="AM62" s="399"/>
      <c r="AN62" s="399"/>
      <c r="AO62" s="399"/>
      <c r="AP62" s="399"/>
    </row>
    <row r="63" spans="1:42" x14ac:dyDescent="0.25">
      <c r="A63" s="331"/>
      <c r="B63" s="48" t="s">
        <v>10</v>
      </c>
      <c r="C63" s="78" t="s">
        <v>118</v>
      </c>
      <c r="D63" s="79"/>
      <c r="E63" s="80" t="s">
        <v>119</v>
      </c>
      <c r="F63" s="180" t="s">
        <v>389</v>
      </c>
      <c r="G63" s="176">
        <v>8713469105200</v>
      </c>
      <c r="H63" s="13">
        <v>1</v>
      </c>
      <c r="I63" s="18">
        <v>2</v>
      </c>
      <c r="J63" s="22" t="s">
        <v>120</v>
      </c>
      <c r="K63" s="5" t="s">
        <v>26</v>
      </c>
      <c r="L63" s="200" t="s">
        <v>23</v>
      </c>
      <c r="M63" s="356" t="s">
        <v>19</v>
      </c>
      <c r="N63" s="354" t="s">
        <v>774</v>
      </c>
      <c r="O63" s="355">
        <v>64</v>
      </c>
      <c r="P63" s="355">
        <v>7.0999999999999994E-2</v>
      </c>
      <c r="Q63" s="355"/>
      <c r="R63" s="355">
        <v>30</v>
      </c>
      <c r="S63" s="355" t="s">
        <v>562</v>
      </c>
      <c r="T63" s="355" t="s">
        <v>562</v>
      </c>
      <c r="U63" s="355">
        <f t="shared" si="22"/>
        <v>0</v>
      </c>
      <c r="V63" s="355"/>
      <c r="W63" s="360" t="str">
        <f>IF(U63=0,"",COUNTIF(W$27:W62,"&gt;0")+1)</f>
        <v/>
      </c>
      <c r="X63" s="360" t="str">
        <f>IF(U63=0,"",COUNTIF(X$27:X62,"&gt;0")+1)</f>
        <v/>
      </c>
      <c r="Y63" s="355"/>
      <c r="Z63" s="359">
        <f t="shared" si="17"/>
        <v>3.5369999999999999</v>
      </c>
      <c r="AA63" s="359" t="str">
        <f t="shared" si="4"/>
        <v/>
      </c>
      <c r="AB63" s="359">
        <f t="shared" si="18"/>
        <v>3.5369999999999999</v>
      </c>
      <c r="AC63" s="355">
        <v>3.6999999999999998E-2</v>
      </c>
      <c r="AD63" s="355" t="str">
        <f t="shared" si="5"/>
        <v/>
      </c>
      <c r="AE63" s="355">
        <f t="shared" si="19"/>
        <v>11</v>
      </c>
      <c r="AF63" s="355" t="str">
        <f t="shared" si="20"/>
        <v/>
      </c>
      <c r="AG63" s="355">
        <f t="shared" si="21"/>
        <v>11</v>
      </c>
      <c r="AH63" s="355">
        <f t="shared" si="7"/>
        <v>0</v>
      </c>
      <c r="AI63" s="355"/>
      <c r="AJ63" s="219"/>
      <c r="AK63" s="219"/>
      <c r="AL63" s="219"/>
      <c r="AM63" s="399"/>
      <c r="AN63" s="399"/>
      <c r="AO63" s="399"/>
      <c r="AP63" s="399"/>
    </row>
    <row r="64" spans="1:42" x14ac:dyDescent="0.25">
      <c r="A64" s="331"/>
      <c r="B64" s="48" t="s">
        <v>10</v>
      </c>
      <c r="C64" s="78" t="s">
        <v>121</v>
      </c>
      <c r="D64" s="79"/>
      <c r="E64" s="124" t="s">
        <v>122</v>
      </c>
      <c r="F64" s="180" t="s">
        <v>387</v>
      </c>
      <c r="G64" s="176">
        <v>8712815727172</v>
      </c>
      <c r="H64" s="13">
        <v>1</v>
      </c>
      <c r="I64" s="18">
        <v>2</v>
      </c>
      <c r="J64" s="22" t="s">
        <v>123</v>
      </c>
      <c r="K64" s="5" t="s">
        <v>26</v>
      </c>
      <c r="L64" s="200"/>
      <c r="M64" s="356" t="s">
        <v>19</v>
      </c>
      <c r="N64" s="354" t="s">
        <v>775</v>
      </c>
      <c r="O64" s="355">
        <v>56</v>
      </c>
      <c r="P64" s="355">
        <v>7.0999999999999994E-2</v>
      </c>
      <c r="Q64" s="355"/>
      <c r="R64" s="355">
        <v>30</v>
      </c>
      <c r="S64" s="355" t="s">
        <v>562</v>
      </c>
      <c r="T64" s="355" t="s">
        <v>562</v>
      </c>
      <c r="U64" s="355">
        <f t="shared" si="22"/>
        <v>0</v>
      </c>
      <c r="V64" s="355"/>
      <c r="W64" s="360" t="str">
        <f>IF(U64=0,"",COUNTIF(W$27:W63,"&gt;0")+1)</f>
        <v/>
      </c>
      <c r="X64" s="360" t="str">
        <f>IF(U64=0,"",COUNTIF(X$27:X63,"&gt;0")+1)</f>
        <v/>
      </c>
      <c r="Y64" s="355"/>
      <c r="Z64" s="359">
        <f t="shared" si="17"/>
        <v>3.5379999999999998</v>
      </c>
      <c r="AA64" s="359" t="str">
        <f t="shared" si="4"/>
        <v/>
      </c>
      <c r="AB64" s="359">
        <f t="shared" si="18"/>
        <v>3.5379999999999998</v>
      </c>
      <c r="AC64" s="355">
        <v>3.7999999999999999E-2</v>
      </c>
      <c r="AD64" s="355" t="str">
        <f t="shared" si="5"/>
        <v/>
      </c>
      <c r="AE64" s="355">
        <f t="shared" si="19"/>
        <v>12</v>
      </c>
      <c r="AF64" s="355" t="str">
        <f t="shared" si="20"/>
        <v/>
      </c>
      <c r="AG64" s="355">
        <f t="shared" si="21"/>
        <v>12</v>
      </c>
      <c r="AH64" s="355">
        <f t="shared" si="7"/>
        <v>0</v>
      </c>
      <c r="AI64" s="355"/>
      <c r="AJ64" s="219"/>
      <c r="AK64" s="219"/>
      <c r="AL64" s="219"/>
      <c r="AM64" s="399"/>
      <c r="AN64" s="399"/>
      <c r="AO64" s="399"/>
      <c r="AP64" s="399"/>
    </row>
    <row r="65" spans="1:42" x14ac:dyDescent="0.25">
      <c r="A65" s="331"/>
      <c r="B65" s="48" t="s">
        <v>10</v>
      </c>
      <c r="C65" s="78" t="s">
        <v>124</v>
      </c>
      <c r="D65" s="79"/>
      <c r="E65" s="80" t="s">
        <v>125</v>
      </c>
      <c r="F65" s="180" t="s">
        <v>387</v>
      </c>
      <c r="G65" s="176">
        <v>8712815038322</v>
      </c>
      <c r="H65" s="13">
        <v>1</v>
      </c>
      <c r="I65" s="18">
        <v>2</v>
      </c>
      <c r="J65" s="22" t="s">
        <v>126</v>
      </c>
      <c r="K65" s="5" t="s">
        <v>26</v>
      </c>
      <c r="L65" s="200"/>
      <c r="M65" s="356" t="s">
        <v>19</v>
      </c>
      <c r="N65" s="354" t="s">
        <v>776</v>
      </c>
      <c r="O65" s="355">
        <v>57</v>
      </c>
      <c r="P65" s="355">
        <v>7.0999999999999994E-2</v>
      </c>
      <c r="Q65" s="355"/>
      <c r="R65" s="355">
        <v>30</v>
      </c>
      <c r="S65" s="355" t="s">
        <v>562</v>
      </c>
      <c r="T65" s="355" t="s">
        <v>562</v>
      </c>
      <c r="U65" s="355">
        <f t="shared" si="22"/>
        <v>0</v>
      </c>
      <c r="V65" s="355"/>
      <c r="W65" s="360" t="str">
        <f>IF(U65=0,"",COUNTIF(W$27:W64,"&gt;0")+1)</f>
        <v/>
      </c>
      <c r="X65" s="360" t="str">
        <f>IF(U65=0,"",COUNTIF(X$27:X64,"&gt;0")+1)</f>
        <v/>
      </c>
      <c r="Y65" s="355"/>
      <c r="Z65" s="359">
        <f t="shared" si="17"/>
        <v>3.5390000000000001</v>
      </c>
      <c r="AA65" s="359" t="str">
        <f t="shared" si="4"/>
        <v/>
      </c>
      <c r="AB65" s="359">
        <f t="shared" si="18"/>
        <v>3.5390000000000001</v>
      </c>
      <c r="AC65" s="355">
        <v>3.9E-2</v>
      </c>
      <c r="AD65" s="355" t="str">
        <f t="shared" si="5"/>
        <v/>
      </c>
      <c r="AE65" s="355">
        <f t="shared" si="19"/>
        <v>13</v>
      </c>
      <c r="AF65" s="355" t="str">
        <f t="shared" si="20"/>
        <v/>
      </c>
      <c r="AG65" s="355">
        <f t="shared" si="21"/>
        <v>13</v>
      </c>
      <c r="AH65" s="355">
        <f t="shared" si="7"/>
        <v>0</v>
      </c>
      <c r="AI65" s="355"/>
      <c r="AJ65" s="219"/>
      <c r="AK65" s="219"/>
      <c r="AL65" s="219"/>
      <c r="AM65" s="399"/>
      <c r="AN65" s="399"/>
      <c r="AO65" s="399"/>
      <c r="AP65" s="399"/>
    </row>
    <row r="66" spans="1:42" x14ac:dyDescent="0.25">
      <c r="A66" s="331"/>
      <c r="B66" s="48" t="s">
        <v>10</v>
      </c>
      <c r="C66" s="78" t="s">
        <v>127</v>
      </c>
      <c r="D66" s="79"/>
      <c r="E66" s="80" t="s">
        <v>128</v>
      </c>
      <c r="F66" s="180" t="s">
        <v>387</v>
      </c>
      <c r="G66" s="176">
        <v>8713469105675</v>
      </c>
      <c r="H66" s="18">
        <v>2</v>
      </c>
      <c r="I66" s="19">
        <v>3</v>
      </c>
      <c r="J66" s="22" t="s">
        <v>129</v>
      </c>
      <c r="K66" s="5" t="s">
        <v>26</v>
      </c>
      <c r="L66" s="200"/>
      <c r="M66" s="356" t="s">
        <v>19</v>
      </c>
      <c r="N66" s="354" t="s">
        <v>777</v>
      </c>
      <c r="O66" s="355">
        <v>58</v>
      </c>
      <c r="P66" s="355">
        <v>7.0999999999999994E-2</v>
      </c>
      <c r="Q66" s="355"/>
      <c r="R66" s="355">
        <v>30</v>
      </c>
      <c r="S66" s="355" t="s">
        <v>562</v>
      </c>
      <c r="T66" s="355" t="s">
        <v>562</v>
      </c>
      <c r="U66" s="355">
        <f t="shared" si="22"/>
        <v>0</v>
      </c>
      <c r="V66" s="355"/>
      <c r="W66" s="360" t="str">
        <f>IF(U66=0,"",COUNTIF(W$27:W65,"&gt;0")+1)</f>
        <v/>
      </c>
      <c r="X66" s="360" t="str">
        <f>IF(U66=0,"",COUNTIF(X$27:X65,"&gt;0")+1)</f>
        <v/>
      </c>
      <c r="Y66" s="355"/>
      <c r="Z66" s="359">
        <f t="shared" si="17"/>
        <v>6.04</v>
      </c>
      <c r="AA66" s="359" t="str">
        <f t="shared" si="4"/>
        <v/>
      </c>
      <c r="AB66" s="359">
        <f t="shared" si="18"/>
        <v>6.04</v>
      </c>
      <c r="AC66" s="355">
        <v>0.04</v>
      </c>
      <c r="AD66" s="355" t="str">
        <f t="shared" si="5"/>
        <v/>
      </c>
      <c r="AE66" s="355">
        <f t="shared" si="19"/>
        <v>29</v>
      </c>
      <c r="AF66" s="355" t="str">
        <f t="shared" si="20"/>
        <v/>
      </c>
      <c r="AG66" s="355">
        <f t="shared" si="21"/>
        <v>27</v>
      </c>
      <c r="AH66" s="355">
        <f t="shared" si="7"/>
        <v>0</v>
      </c>
      <c r="AI66" s="355"/>
      <c r="AJ66" s="219"/>
      <c r="AK66" s="219"/>
      <c r="AL66" s="219"/>
      <c r="AM66" s="399"/>
      <c r="AN66" s="399"/>
      <c r="AO66" s="399"/>
      <c r="AP66" s="399"/>
    </row>
    <row r="67" spans="1:42" hidden="1" x14ac:dyDescent="0.25">
      <c r="A67" s="331"/>
      <c r="B67" s="48" t="s">
        <v>10</v>
      </c>
      <c r="C67" s="78" t="s">
        <v>130</v>
      </c>
      <c r="D67" s="79"/>
      <c r="E67" s="87" t="s">
        <v>131</v>
      </c>
      <c r="F67" s="183" t="s">
        <v>387</v>
      </c>
      <c r="G67" s="176">
        <v>8713469105712</v>
      </c>
      <c r="H67" s="13">
        <v>1</v>
      </c>
      <c r="I67" s="18">
        <v>2</v>
      </c>
      <c r="J67" s="22" t="s">
        <v>132</v>
      </c>
      <c r="K67" s="5" t="s">
        <v>526</v>
      </c>
      <c r="L67" s="200" t="s">
        <v>23</v>
      </c>
      <c r="M67" s="356" t="s">
        <v>30</v>
      </c>
      <c r="N67" s="354" t="s">
        <v>778</v>
      </c>
      <c r="O67" s="355"/>
      <c r="P67" s="355">
        <v>7.0999999999999994E-2</v>
      </c>
      <c r="Q67" s="355"/>
      <c r="R67" s="355">
        <v>30</v>
      </c>
      <c r="S67" s="355" t="s">
        <v>562</v>
      </c>
      <c r="T67" s="355" t="s">
        <v>562</v>
      </c>
      <c r="U67" s="355">
        <f t="shared" si="22"/>
        <v>0</v>
      </c>
      <c r="V67" s="355"/>
      <c r="W67" s="360" t="str">
        <f>IF(U67=0,"",COUNTIF(W$27:W66,"&gt;0")+1)</f>
        <v/>
      </c>
      <c r="X67" s="360" t="str">
        <f>IF(U67=0,"",COUNTIF(X$27:X66,"&gt;0")+1)</f>
        <v/>
      </c>
      <c r="Y67" s="355"/>
      <c r="Z67" s="359" t="str">
        <f t="shared" si="17"/>
        <v/>
      </c>
      <c r="AA67" s="359" t="str">
        <f t="shared" si="4"/>
        <v/>
      </c>
      <c r="AB67" s="359" t="str">
        <f t="shared" si="18"/>
        <v/>
      </c>
      <c r="AC67" s="355">
        <v>4.1000000000000002E-2</v>
      </c>
      <c r="AD67" s="355" t="str">
        <f t="shared" si="5"/>
        <v>YES</v>
      </c>
      <c r="AE67" s="355" t="str">
        <f t="shared" si="19"/>
        <v/>
      </c>
      <c r="AF67" s="355" t="str">
        <f t="shared" si="20"/>
        <v/>
      </c>
      <c r="AG67" s="355" t="str">
        <f t="shared" si="21"/>
        <v/>
      </c>
      <c r="AH67" s="355">
        <f t="shared" si="7"/>
        <v>0</v>
      </c>
      <c r="AI67" s="355"/>
      <c r="AJ67" s="219"/>
      <c r="AK67" s="219"/>
      <c r="AL67" s="219"/>
      <c r="AM67" s="399"/>
      <c r="AN67" s="399"/>
      <c r="AO67" s="399"/>
      <c r="AP67" s="399"/>
    </row>
    <row r="68" spans="1:42" x14ac:dyDescent="0.25">
      <c r="A68" s="331"/>
      <c r="B68" s="48" t="s">
        <v>10</v>
      </c>
      <c r="C68" s="78" t="s">
        <v>133</v>
      </c>
      <c r="D68" s="79"/>
      <c r="E68" s="80" t="s">
        <v>134</v>
      </c>
      <c r="F68" s="180" t="s">
        <v>387</v>
      </c>
      <c r="G68" s="176">
        <v>8712815203348</v>
      </c>
      <c r="H68" s="18">
        <v>2</v>
      </c>
      <c r="I68" s="18">
        <v>2</v>
      </c>
      <c r="J68" s="22" t="s">
        <v>135</v>
      </c>
      <c r="K68" s="5" t="s">
        <v>26</v>
      </c>
      <c r="L68" s="200"/>
      <c r="M68" s="356" t="s">
        <v>19</v>
      </c>
      <c r="N68" s="354" t="s">
        <v>780</v>
      </c>
      <c r="O68" s="355">
        <v>59</v>
      </c>
      <c r="P68" s="355">
        <v>7.0999999999999994E-2</v>
      </c>
      <c r="Q68" s="355"/>
      <c r="R68" s="355">
        <v>30</v>
      </c>
      <c r="S68" s="355" t="s">
        <v>562</v>
      </c>
      <c r="T68" s="355" t="s">
        <v>562</v>
      </c>
      <c r="U68" s="355">
        <f t="shared" si="22"/>
        <v>0</v>
      </c>
      <c r="V68" s="355"/>
      <c r="W68" s="360" t="str">
        <f>IF(U68=0,"",COUNTIF(W$27:W67,"&gt;0")+1)</f>
        <v/>
      </c>
      <c r="X68" s="360" t="str">
        <f>IF(U68=0,"",COUNTIF(X$27:X67,"&gt;0")+1)</f>
        <v/>
      </c>
      <c r="Y68" s="355"/>
      <c r="Z68" s="359">
        <f t="shared" si="17"/>
        <v>5.0419999999999998</v>
      </c>
      <c r="AA68" s="359" t="str">
        <f t="shared" si="4"/>
        <v/>
      </c>
      <c r="AB68" s="359">
        <f t="shared" si="18"/>
        <v>5.0419999999999998</v>
      </c>
      <c r="AC68" s="355">
        <v>4.2000000000000003E-2</v>
      </c>
      <c r="AD68" s="355" t="str">
        <f t="shared" si="5"/>
        <v/>
      </c>
      <c r="AE68" s="355">
        <f t="shared" si="19"/>
        <v>21</v>
      </c>
      <c r="AF68" s="355" t="str">
        <f t="shared" si="20"/>
        <v/>
      </c>
      <c r="AG68" s="355">
        <f t="shared" si="21"/>
        <v>20</v>
      </c>
      <c r="AH68" s="355">
        <f t="shared" si="7"/>
        <v>0</v>
      </c>
      <c r="AI68" s="355"/>
      <c r="AJ68" s="219"/>
      <c r="AK68" s="219"/>
      <c r="AL68" s="219"/>
      <c r="AM68" s="399"/>
      <c r="AN68" s="399"/>
      <c r="AO68" s="399"/>
      <c r="AP68" s="399"/>
    </row>
    <row r="69" spans="1:42" x14ac:dyDescent="0.25">
      <c r="A69" s="331"/>
      <c r="B69" s="48" t="s">
        <v>10</v>
      </c>
      <c r="C69" s="78" t="s">
        <v>136</v>
      </c>
      <c r="D69" s="79"/>
      <c r="E69" s="80" t="s">
        <v>137</v>
      </c>
      <c r="F69" s="180" t="s">
        <v>387</v>
      </c>
      <c r="G69" s="176">
        <v>8712815203355</v>
      </c>
      <c r="H69" s="18">
        <v>2</v>
      </c>
      <c r="I69" s="18">
        <v>2</v>
      </c>
      <c r="J69" s="22" t="s">
        <v>138</v>
      </c>
      <c r="K69" s="5" t="s">
        <v>26</v>
      </c>
      <c r="L69" s="200"/>
      <c r="M69" s="356" t="s">
        <v>19</v>
      </c>
      <c r="N69" s="354" t="s">
        <v>781</v>
      </c>
      <c r="O69" s="355">
        <v>60</v>
      </c>
      <c r="P69" s="355">
        <v>7.0999999999999994E-2</v>
      </c>
      <c r="Q69" s="355"/>
      <c r="R69" s="355">
        <v>30</v>
      </c>
      <c r="S69" s="355" t="s">
        <v>562</v>
      </c>
      <c r="T69" s="355" t="s">
        <v>562</v>
      </c>
      <c r="U69" s="355">
        <f t="shared" si="22"/>
        <v>0</v>
      </c>
      <c r="V69" s="355"/>
      <c r="W69" s="360" t="str">
        <f>IF(U69=0,"",COUNTIF(W$27:W68,"&gt;0")+1)</f>
        <v/>
      </c>
      <c r="X69" s="360" t="str">
        <f>IF(U69=0,"",COUNTIF(X$27:X68,"&gt;0")+1)</f>
        <v/>
      </c>
      <c r="Y69" s="355"/>
      <c r="Z69" s="359">
        <f t="shared" si="17"/>
        <v>5.0430000000000001</v>
      </c>
      <c r="AA69" s="359" t="str">
        <f t="shared" si="4"/>
        <v/>
      </c>
      <c r="AB69" s="359">
        <f t="shared" si="18"/>
        <v>5.0430000000000001</v>
      </c>
      <c r="AC69" s="355">
        <v>4.2999999999999997E-2</v>
      </c>
      <c r="AD69" s="355" t="str">
        <f t="shared" si="5"/>
        <v/>
      </c>
      <c r="AE69" s="355">
        <f t="shared" si="19"/>
        <v>22</v>
      </c>
      <c r="AF69" s="355" t="str">
        <f t="shared" si="20"/>
        <v/>
      </c>
      <c r="AG69" s="355">
        <f t="shared" si="21"/>
        <v>21</v>
      </c>
      <c r="AH69" s="355">
        <f t="shared" si="7"/>
        <v>0</v>
      </c>
      <c r="AI69" s="355"/>
      <c r="AJ69" s="219"/>
      <c r="AK69" s="219"/>
      <c r="AL69" s="219"/>
      <c r="AM69" s="399"/>
      <c r="AN69" s="399"/>
      <c r="AO69" s="399"/>
      <c r="AP69" s="399"/>
    </row>
    <row r="70" spans="1:42" hidden="1" x14ac:dyDescent="0.25">
      <c r="A70" s="353"/>
      <c r="B70" s="48" t="s">
        <v>10</v>
      </c>
      <c r="C70" s="173" t="s">
        <v>344</v>
      </c>
      <c r="D70" s="149"/>
      <c r="E70" s="80" t="s">
        <v>166</v>
      </c>
      <c r="F70" s="184" t="s">
        <v>387</v>
      </c>
      <c r="G70" s="176">
        <v>8713469105804</v>
      </c>
      <c r="H70" s="19">
        <v>3</v>
      </c>
      <c r="I70" s="13">
        <v>1</v>
      </c>
      <c r="J70" s="105" t="s">
        <v>167</v>
      </c>
      <c r="K70" s="5">
        <v>1</v>
      </c>
      <c r="L70" s="14"/>
      <c r="M70" s="356" t="s">
        <v>30</v>
      </c>
      <c r="N70" s="355" t="s">
        <v>782</v>
      </c>
      <c r="O70" s="355"/>
      <c r="P70" s="355">
        <v>7.0999999999999994E-2</v>
      </c>
      <c r="Q70" s="355"/>
      <c r="R70" s="355">
        <v>40</v>
      </c>
      <c r="S70" s="355" t="s">
        <v>562</v>
      </c>
      <c r="T70" s="355" t="s">
        <v>562</v>
      </c>
      <c r="U70" s="355">
        <f t="shared" si="22"/>
        <v>0</v>
      </c>
      <c r="V70" s="355"/>
      <c r="W70" s="360" t="str">
        <f>IF(U70=0,"",COUNTIF(W$27:W69,"&gt;0")+1)</f>
        <v/>
      </c>
      <c r="X70" s="360" t="str">
        <f>IF(U70=0,"",COUNTIF(X$27:X69,"&gt;0")+1)</f>
        <v/>
      </c>
      <c r="Y70" s="355"/>
      <c r="Z70" s="359" t="str">
        <f t="shared" si="17"/>
        <v/>
      </c>
      <c r="AA70" s="359" t="str">
        <f t="shared" si="4"/>
        <v/>
      </c>
      <c r="AB70" s="359" t="str">
        <f t="shared" si="18"/>
        <v/>
      </c>
      <c r="AC70" s="355">
        <v>4.3999999999999997E-2</v>
      </c>
      <c r="AD70" s="355" t="str">
        <f t="shared" si="5"/>
        <v>YES</v>
      </c>
      <c r="AE70" s="355" t="str">
        <f t="shared" si="19"/>
        <v/>
      </c>
      <c r="AF70" s="355" t="str">
        <f t="shared" si="20"/>
        <v/>
      </c>
      <c r="AG70" s="355" t="str">
        <f t="shared" si="21"/>
        <v/>
      </c>
      <c r="AH70" s="355">
        <f t="shared" si="7"/>
        <v>0</v>
      </c>
      <c r="AI70" s="355"/>
      <c r="AJ70" s="219"/>
      <c r="AK70" s="219"/>
      <c r="AL70" s="219"/>
      <c r="AM70" s="399"/>
      <c r="AN70" s="399"/>
      <c r="AO70" s="399"/>
      <c r="AP70" s="399"/>
    </row>
    <row r="71" spans="1:42" hidden="1" x14ac:dyDescent="0.25">
      <c r="A71" s="353"/>
      <c r="B71" s="48" t="s">
        <v>10</v>
      </c>
      <c r="C71" s="155" t="s">
        <v>476</v>
      </c>
      <c r="D71" s="152"/>
      <c r="E71" s="80" t="s">
        <v>528</v>
      </c>
      <c r="F71" s="180" t="s">
        <v>387</v>
      </c>
      <c r="G71" s="176">
        <v>8713469105828</v>
      </c>
      <c r="H71" s="19">
        <v>3</v>
      </c>
      <c r="I71" s="13">
        <v>1</v>
      </c>
      <c r="J71" s="145" t="s">
        <v>477</v>
      </c>
      <c r="K71" s="5">
        <v>1</v>
      </c>
      <c r="L71" s="14"/>
      <c r="M71" s="356" t="s">
        <v>30</v>
      </c>
      <c r="N71" s="355" t="s">
        <v>783</v>
      </c>
      <c r="O71" s="355"/>
      <c r="P71" s="355">
        <v>7.0999999999999994E-2</v>
      </c>
      <c r="Q71" s="355"/>
      <c r="R71" s="355">
        <v>30</v>
      </c>
      <c r="S71" s="355" t="s">
        <v>562</v>
      </c>
      <c r="T71" s="355" t="s">
        <v>562</v>
      </c>
      <c r="U71" s="355">
        <f t="shared" si="22"/>
        <v>0</v>
      </c>
      <c r="V71" s="355"/>
      <c r="W71" s="360" t="str">
        <f>IF(U71=0,"",COUNTIF(W$27:W70,"&gt;0")+1)</f>
        <v/>
      </c>
      <c r="X71" s="360" t="str">
        <f>IF(U71=0,"",COUNTIF(X$27:X70,"&gt;0")+1)</f>
        <v/>
      </c>
      <c r="Y71" s="355"/>
      <c r="Z71" s="359" t="str">
        <f t="shared" si="17"/>
        <v/>
      </c>
      <c r="AA71" s="359" t="str">
        <f t="shared" si="4"/>
        <v/>
      </c>
      <c r="AB71" s="359" t="str">
        <f t="shared" si="18"/>
        <v/>
      </c>
      <c r="AC71" s="355">
        <v>4.4999999999999998E-2</v>
      </c>
      <c r="AD71" s="355" t="str">
        <f t="shared" si="5"/>
        <v>YES</v>
      </c>
      <c r="AE71" s="355" t="str">
        <f t="shared" si="19"/>
        <v/>
      </c>
      <c r="AF71" s="355" t="str">
        <f t="shared" si="20"/>
        <v/>
      </c>
      <c r="AG71" s="355" t="str">
        <f t="shared" si="21"/>
        <v/>
      </c>
      <c r="AH71" s="355">
        <f t="shared" si="7"/>
        <v>0</v>
      </c>
      <c r="AI71" s="355"/>
      <c r="AJ71" s="219"/>
      <c r="AK71" s="219"/>
      <c r="AL71" s="219"/>
      <c r="AM71" s="399"/>
      <c r="AN71" s="399"/>
      <c r="AO71" s="399"/>
      <c r="AP71" s="399"/>
    </row>
    <row r="72" spans="1:42" x14ac:dyDescent="0.25">
      <c r="A72" s="331"/>
      <c r="B72" s="48" t="s">
        <v>10</v>
      </c>
      <c r="C72" s="78" t="s">
        <v>139</v>
      </c>
      <c r="D72" s="79"/>
      <c r="E72" s="80" t="s">
        <v>140</v>
      </c>
      <c r="F72" s="180" t="s">
        <v>387</v>
      </c>
      <c r="G72" s="176">
        <v>8713469105859</v>
      </c>
      <c r="H72" s="13">
        <v>1</v>
      </c>
      <c r="I72" s="13">
        <v>1</v>
      </c>
      <c r="J72" s="22" t="s">
        <v>141</v>
      </c>
      <c r="K72" s="5" t="s">
        <v>26</v>
      </c>
      <c r="L72" s="200" t="s">
        <v>23</v>
      </c>
      <c r="M72" s="356" t="s">
        <v>19</v>
      </c>
      <c r="N72" s="354" t="s">
        <v>784</v>
      </c>
      <c r="O72" s="355">
        <v>61</v>
      </c>
      <c r="P72" s="355">
        <v>7.0999999999999994E-2</v>
      </c>
      <c r="Q72" s="355"/>
      <c r="R72" s="355">
        <v>35</v>
      </c>
      <c r="S72" s="355" t="s">
        <v>562</v>
      </c>
      <c r="T72" s="355" t="s">
        <v>562</v>
      </c>
      <c r="U72" s="355">
        <f t="shared" si="22"/>
        <v>0</v>
      </c>
      <c r="V72" s="355"/>
      <c r="W72" s="360" t="str">
        <f>IF(U72=0,"",COUNTIF(W$27:W71,"&gt;0")+1)</f>
        <v/>
      </c>
      <c r="X72" s="360" t="str">
        <f>IF(U72=0,"",COUNTIF(X$27:X71,"&gt;0")+1)</f>
        <v/>
      </c>
      <c r="Y72" s="355"/>
      <c r="Z72" s="359">
        <f t="shared" si="17"/>
        <v>2.5459999999999998</v>
      </c>
      <c r="AA72" s="359" t="str">
        <f t="shared" si="4"/>
        <v/>
      </c>
      <c r="AB72" s="359">
        <f t="shared" si="18"/>
        <v>2.5459999999999998</v>
      </c>
      <c r="AC72" s="355">
        <v>4.5999999999999999E-2</v>
      </c>
      <c r="AD72" s="355" t="str">
        <f t="shared" si="5"/>
        <v/>
      </c>
      <c r="AE72" s="355">
        <f t="shared" si="19"/>
        <v>5</v>
      </c>
      <c r="AF72" s="355" t="str">
        <f t="shared" si="20"/>
        <v/>
      </c>
      <c r="AG72" s="355">
        <f t="shared" si="21"/>
        <v>5</v>
      </c>
      <c r="AH72" s="355">
        <f t="shared" si="7"/>
        <v>0</v>
      </c>
      <c r="AI72" s="355"/>
      <c r="AJ72" s="219"/>
      <c r="AK72" s="219"/>
      <c r="AL72" s="219"/>
      <c r="AM72" s="399"/>
      <c r="AN72" s="399"/>
      <c r="AO72" s="399"/>
      <c r="AP72" s="399"/>
    </row>
    <row r="73" spans="1:42" x14ac:dyDescent="0.25">
      <c r="A73" s="331"/>
      <c r="B73" s="48" t="s">
        <v>10</v>
      </c>
      <c r="C73" s="78" t="s">
        <v>142</v>
      </c>
      <c r="D73" s="79"/>
      <c r="E73" s="80" t="s">
        <v>143</v>
      </c>
      <c r="F73" s="180" t="s">
        <v>387</v>
      </c>
      <c r="G73" s="176">
        <v>8713469105866</v>
      </c>
      <c r="H73" s="13">
        <v>1</v>
      </c>
      <c r="I73" s="13">
        <v>1</v>
      </c>
      <c r="J73" s="22" t="s">
        <v>144</v>
      </c>
      <c r="K73" s="5" t="s">
        <v>26</v>
      </c>
      <c r="L73" s="200" t="s">
        <v>23</v>
      </c>
      <c r="M73" s="356" t="s">
        <v>19</v>
      </c>
      <c r="N73" s="354" t="s">
        <v>1019</v>
      </c>
      <c r="O73" s="355">
        <v>62</v>
      </c>
      <c r="P73" s="355">
        <v>7.0999999999999994E-2</v>
      </c>
      <c r="Q73" s="355"/>
      <c r="R73" s="355">
        <v>30</v>
      </c>
      <c r="S73" s="355" t="s">
        <v>562</v>
      </c>
      <c r="T73" s="355" t="s">
        <v>562</v>
      </c>
      <c r="U73" s="355">
        <f t="shared" si="22"/>
        <v>0</v>
      </c>
      <c r="V73" s="355"/>
      <c r="W73" s="360" t="str">
        <f>IF(U73=0,"",COUNTIF(W$27:W72,"&gt;0")+1)</f>
        <v/>
      </c>
      <c r="X73" s="360" t="str">
        <f>IF(U73=0,"",COUNTIF(X$27:X72,"&gt;0")+1)</f>
        <v/>
      </c>
      <c r="Y73" s="355"/>
      <c r="Z73" s="359">
        <f t="shared" si="17"/>
        <v>2.5470000000000002</v>
      </c>
      <c r="AA73" s="359" t="str">
        <f t="shared" si="4"/>
        <v/>
      </c>
      <c r="AB73" s="359">
        <f t="shared" si="18"/>
        <v>2.5470000000000002</v>
      </c>
      <c r="AC73" s="355">
        <v>4.7E-2</v>
      </c>
      <c r="AD73" s="355" t="str">
        <f t="shared" si="5"/>
        <v/>
      </c>
      <c r="AE73" s="355">
        <f t="shared" si="19"/>
        <v>6</v>
      </c>
      <c r="AF73" s="355" t="str">
        <f t="shared" si="20"/>
        <v/>
      </c>
      <c r="AG73" s="355">
        <f t="shared" si="21"/>
        <v>6</v>
      </c>
      <c r="AH73" s="355">
        <f t="shared" si="7"/>
        <v>0</v>
      </c>
      <c r="AI73" s="355"/>
      <c r="AJ73" s="219"/>
      <c r="AK73" s="219"/>
      <c r="AL73" s="219"/>
      <c r="AM73" s="399"/>
      <c r="AN73" s="399"/>
      <c r="AO73" s="399"/>
      <c r="AP73" s="399"/>
    </row>
    <row r="74" spans="1:42" hidden="1" x14ac:dyDescent="0.25">
      <c r="A74" s="331"/>
      <c r="B74" s="48" t="s">
        <v>10</v>
      </c>
      <c r="C74" s="78" t="s">
        <v>478</v>
      </c>
      <c r="D74" s="79"/>
      <c r="E74" s="80" t="s">
        <v>153</v>
      </c>
      <c r="F74" s="180" t="s">
        <v>389</v>
      </c>
      <c r="G74" s="176">
        <v>8713469106139</v>
      </c>
      <c r="H74" s="18">
        <v>2</v>
      </c>
      <c r="I74" s="13">
        <v>1</v>
      </c>
      <c r="J74" s="22" t="s">
        <v>154</v>
      </c>
      <c r="K74" s="5" t="s">
        <v>18</v>
      </c>
      <c r="L74" s="200" t="s">
        <v>23</v>
      </c>
      <c r="M74" s="356" t="s">
        <v>30</v>
      </c>
      <c r="N74" s="355" t="s">
        <v>792</v>
      </c>
      <c r="O74" s="355"/>
      <c r="P74" s="355">
        <v>7.0999999999999994E-2</v>
      </c>
      <c r="Q74" s="355"/>
      <c r="R74" s="355">
        <v>30</v>
      </c>
      <c r="S74" s="355" t="s">
        <v>562</v>
      </c>
      <c r="T74" s="355" t="s">
        <v>562</v>
      </c>
      <c r="U74" s="355">
        <f t="shared" si="22"/>
        <v>0</v>
      </c>
      <c r="V74" s="355"/>
      <c r="W74" s="360" t="str">
        <f>IF(U74=0,"",COUNTIF(W$27:W73,"&gt;0")+1)</f>
        <v/>
      </c>
      <c r="X74" s="360" t="str">
        <f>IF(U74=0,"",COUNTIF(X$27:X73,"&gt;0")+1)</f>
        <v/>
      </c>
      <c r="Y74" s="355"/>
      <c r="Z74" s="359" t="str">
        <f t="shared" si="17"/>
        <v/>
      </c>
      <c r="AA74" s="359" t="str">
        <f t="shared" si="4"/>
        <v/>
      </c>
      <c r="AB74" s="359" t="str">
        <f t="shared" si="18"/>
        <v/>
      </c>
      <c r="AC74" s="355">
        <v>4.8000000000000001E-2</v>
      </c>
      <c r="AD74" s="355" t="str">
        <f t="shared" si="5"/>
        <v>YES</v>
      </c>
      <c r="AE74" s="355" t="str">
        <f t="shared" si="19"/>
        <v/>
      </c>
      <c r="AF74" s="355" t="str">
        <f t="shared" si="20"/>
        <v/>
      </c>
      <c r="AG74" s="355" t="str">
        <f t="shared" si="21"/>
        <v/>
      </c>
      <c r="AH74" s="355">
        <f t="shared" si="7"/>
        <v>0</v>
      </c>
      <c r="AI74" s="355"/>
      <c r="AJ74" s="219"/>
      <c r="AK74" s="219"/>
      <c r="AL74" s="219"/>
      <c r="AM74" s="399"/>
      <c r="AN74" s="399"/>
      <c r="AO74" s="399"/>
      <c r="AP74" s="399"/>
    </row>
    <row r="75" spans="1:42" hidden="1" x14ac:dyDescent="0.25">
      <c r="A75" s="331"/>
      <c r="B75" s="48" t="s">
        <v>10</v>
      </c>
      <c r="C75" s="78" t="s">
        <v>479</v>
      </c>
      <c r="D75" s="79"/>
      <c r="E75" s="80" t="s">
        <v>156</v>
      </c>
      <c r="F75" s="180" t="s">
        <v>387</v>
      </c>
      <c r="G75" s="176">
        <v>8713469106153</v>
      </c>
      <c r="H75" s="18">
        <v>2</v>
      </c>
      <c r="I75" s="18">
        <v>2</v>
      </c>
      <c r="J75" s="22" t="s">
        <v>157</v>
      </c>
      <c r="K75" s="5" t="s">
        <v>18</v>
      </c>
      <c r="L75" s="200"/>
      <c r="M75" s="356" t="s">
        <v>30</v>
      </c>
      <c r="N75" s="355" t="s">
        <v>793</v>
      </c>
      <c r="O75" s="355"/>
      <c r="P75" s="355">
        <v>7.0999999999999994E-2</v>
      </c>
      <c r="Q75" s="355"/>
      <c r="R75" s="355">
        <v>40</v>
      </c>
      <c r="S75" s="355" t="s">
        <v>562</v>
      </c>
      <c r="T75" s="355" t="s">
        <v>562</v>
      </c>
      <c r="U75" s="355">
        <f t="shared" si="22"/>
        <v>0</v>
      </c>
      <c r="V75" s="355"/>
      <c r="W75" s="360" t="str">
        <f>IF(U75=0,"",COUNTIF(W$27:W74,"&gt;0")+1)</f>
        <v/>
      </c>
      <c r="X75" s="360" t="str">
        <f>IF(U75=0,"",COUNTIF(X$27:X74,"&gt;0")+1)</f>
        <v/>
      </c>
      <c r="Y75" s="355"/>
      <c r="Z75" s="359" t="str">
        <f t="shared" si="17"/>
        <v/>
      </c>
      <c r="AA75" s="359" t="str">
        <f t="shared" si="4"/>
        <v/>
      </c>
      <c r="AB75" s="359" t="str">
        <f t="shared" si="18"/>
        <v/>
      </c>
      <c r="AC75" s="355">
        <v>4.9000000000000002E-2</v>
      </c>
      <c r="AD75" s="355" t="str">
        <f t="shared" si="5"/>
        <v>YES</v>
      </c>
      <c r="AE75" s="355" t="str">
        <f t="shared" si="19"/>
        <v/>
      </c>
      <c r="AF75" s="355" t="str">
        <f t="shared" si="20"/>
        <v/>
      </c>
      <c r="AG75" s="355" t="str">
        <f t="shared" si="21"/>
        <v/>
      </c>
      <c r="AH75" s="355">
        <f t="shared" si="7"/>
        <v>0</v>
      </c>
      <c r="AI75" s="355"/>
      <c r="AJ75" s="219"/>
      <c r="AK75" s="219"/>
      <c r="AL75" s="219"/>
      <c r="AM75" s="399"/>
      <c r="AN75" s="399"/>
      <c r="AO75" s="399"/>
      <c r="AP75" s="399"/>
    </row>
    <row r="76" spans="1:42" x14ac:dyDescent="0.25">
      <c r="A76" s="331"/>
      <c r="B76" s="48" t="s">
        <v>10</v>
      </c>
      <c r="C76" s="78" t="s">
        <v>158</v>
      </c>
      <c r="D76" s="79"/>
      <c r="E76" s="80" t="s">
        <v>159</v>
      </c>
      <c r="F76" s="180" t="s">
        <v>387</v>
      </c>
      <c r="G76" s="176">
        <v>8713469106191</v>
      </c>
      <c r="H76" s="13">
        <v>1</v>
      </c>
      <c r="I76" s="18">
        <v>2</v>
      </c>
      <c r="J76" s="22" t="s">
        <v>160</v>
      </c>
      <c r="K76" s="5" t="s">
        <v>26</v>
      </c>
      <c r="L76" s="200" t="s">
        <v>23</v>
      </c>
      <c r="M76" s="356" t="s">
        <v>19</v>
      </c>
      <c r="N76" s="354" t="s">
        <v>794</v>
      </c>
      <c r="O76" s="355">
        <v>63</v>
      </c>
      <c r="P76" s="355">
        <v>7.0999999999999994E-2</v>
      </c>
      <c r="Q76" s="355"/>
      <c r="R76" s="355">
        <v>30</v>
      </c>
      <c r="S76" s="355" t="s">
        <v>562</v>
      </c>
      <c r="T76" s="355" t="s">
        <v>562</v>
      </c>
      <c r="U76" s="355">
        <f t="shared" si="22"/>
        <v>0</v>
      </c>
      <c r="V76" s="355"/>
      <c r="W76" s="360" t="str">
        <f>IF(U76=0,"",COUNTIF(W$27:W75,"&gt;0")+1)</f>
        <v/>
      </c>
      <c r="X76" s="360" t="str">
        <f>IF(U76=0,"",COUNTIF(X$27:X75,"&gt;0")+1)</f>
        <v/>
      </c>
      <c r="Y76" s="355"/>
      <c r="Z76" s="359">
        <f t="shared" si="17"/>
        <v>3.55</v>
      </c>
      <c r="AA76" s="359" t="str">
        <f t="shared" si="4"/>
        <v/>
      </c>
      <c r="AB76" s="359">
        <f t="shared" si="18"/>
        <v>3.55</v>
      </c>
      <c r="AC76" s="355">
        <v>0.05</v>
      </c>
      <c r="AD76" s="355" t="str">
        <f t="shared" si="5"/>
        <v/>
      </c>
      <c r="AE76" s="355">
        <f t="shared" si="19"/>
        <v>14</v>
      </c>
      <c r="AF76" s="355" t="str">
        <f t="shared" si="20"/>
        <v/>
      </c>
      <c r="AG76" s="355">
        <f t="shared" si="21"/>
        <v>14</v>
      </c>
      <c r="AH76" s="355">
        <f t="shared" si="7"/>
        <v>0</v>
      </c>
      <c r="AI76" s="355"/>
      <c r="AJ76" s="219"/>
      <c r="AK76" s="219"/>
      <c r="AL76" s="219"/>
      <c r="AM76" s="399"/>
      <c r="AN76" s="399"/>
      <c r="AO76" s="399"/>
      <c r="AP76" s="399"/>
    </row>
    <row r="77" spans="1:42" x14ac:dyDescent="0.25">
      <c r="A77" s="59">
        <f>SUM(A24:A76)</f>
        <v>0</v>
      </c>
      <c r="B77" s="48" t="s">
        <v>10</v>
      </c>
      <c r="C77" s="143" t="s">
        <v>568</v>
      </c>
      <c r="D77" s="2"/>
      <c r="E77" s="69"/>
      <c r="F77" s="185"/>
      <c r="G77" s="144"/>
      <c r="H77" s="3"/>
      <c r="I77" s="3"/>
      <c r="J77" s="145"/>
      <c r="K77" s="7"/>
      <c r="L77" s="25"/>
      <c r="M77" s="357"/>
      <c r="N77" s="357"/>
      <c r="O77" s="355"/>
      <c r="P77" s="355"/>
      <c r="Q77" s="355"/>
      <c r="R77" s="355"/>
      <c r="S77" s="355" t="s">
        <v>562</v>
      </c>
      <c r="T77" s="355"/>
      <c r="U77" s="355">
        <f>SUM(U27:U76)</f>
        <v>0</v>
      </c>
      <c r="V77" s="355"/>
      <c r="W77" s="360" t="str">
        <f>IF(U77=0,"",COUNTIF(W$27:W76,"&gt;0")+1)</f>
        <v/>
      </c>
      <c r="X77" s="360"/>
      <c r="Y77" s="355"/>
      <c r="Z77" s="355"/>
      <c r="AA77" s="355"/>
      <c r="AB77" s="355"/>
      <c r="AC77" s="355"/>
      <c r="AD77" s="355"/>
      <c r="AE77" s="355"/>
      <c r="AF77" s="355"/>
      <c r="AG77" s="355"/>
      <c r="AH77" s="355">
        <f>SUM(AH27:AH76)</f>
        <v>0</v>
      </c>
      <c r="AI77" s="355"/>
      <c r="AJ77" s="219"/>
      <c r="AK77" s="219"/>
      <c r="AL77" s="219"/>
      <c r="AM77" s="399"/>
      <c r="AN77" s="399"/>
      <c r="AO77" s="399"/>
      <c r="AP77" s="399"/>
    </row>
    <row r="78" spans="1:42" x14ac:dyDescent="0.25">
      <c r="A78" s="60"/>
      <c r="B78" s="21"/>
      <c r="C78" s="143"/>
      <c r="D78" s="2"/>
      <c r="E78" s="69"/>
      <c r="F78" s="185"/>
      <c r="G78" s="144"/>
      <c r="H78" s="3"/>
      <c r="I78" s="3"/>
      <c r="J78" s="145"/>
      <c r="K78" s="7"/>
      <c r="L78" s="25"/>
      <c r="M78" s="357"/>
      <c r="N78" s="357"/>
      <c r="O78" s="355"/>
      <c r="P78" s="355"/>
      <c r="Q78" s="355"/>
      <c r="R78" s="355"/>
      <c r="S78" s="355"/>
      <c r="T78" s="355"/>
      <c r="U78" s="355"/>
      <c r="V78" s="355"/>
      <c r="W78" s="355"/>
      <c r="X78" s="355"/>
      <c r="Y78" s="355"/>
      <c r="Z78" s="355"/>
      <c r="AA78" s="355"/>
      <c r="AB78" s="355"/>
      <c r="AC78" s="355"/>
      <c r="AD78" s="355"/>
      <c r="AE78" s="355"/>
      <c r="AF78" s="355"/>
      <c r="AG78" s="355"/>
      <c r="AH78" s="355"/>
      <c r="AI78" s="355"/>
      <c r="AJ78" s="219"/>
      <c r="AK78" s="219"/>
      <c r="AL78" s="219"/>
      <c r="AM78" s="399"/>
      <c r="AN78" s="399"/>
      <c r="AO78" s="399"/>
      <c r="AP78" s="399"/>
    </row>
    <row r="79" spans="1:42" ht="28.5" hidden="1" x14ac:dyDescent="0.25">
      <c r="A79" s="67" t="s">
        <v>945</v>
      </c>
      <c r="B79" s="67"/>
      <c r="C79" s="67"/>
      <c r="D79" s="67"/>
      <c r="E79" s="67"/>
      <c r="F79" s="67"/>
      <c r="G79" s="67"/>
      <c r="H79" s="67"/>
      <c r="I79" s="67"/>
      <c r="J79" s="67"/>
      <c r="K79" s="67"/>
      <c r="L79" s="67"/>
      <c r="M79" s="357"/>
      <c r="N79" s="357"/>
      <c r="O79" s="355"/>
      <c r="P79" s="355"/>
      <c r="Q79" s="355"/>
      <c r="R79" s="355"/>
      <c r="S79" s="355"/>
      <c r="T79" s="355"/>
      <c r="U79" s="355"/>
      <c r="V79" s="355"/>
      <c r="W79" s="355"/>
      <c r="X79" s="355"/>
      <c r="Y79" s="355"/>
      <c r="Z79" s="355"/>
      <c r="AA79" s="355"/>
      <c r="AB79" s="355"/>
      <c r="AC79" s="355"/>
      <c r="AD79" s="355"/>
      <c r="AE79" s="355"/>
      <c r="AF79" s="355"/>
      <c r="AG79" s="355"/>
      <c r="AH79" s="355"/>
      <c r="AI79" s="355"/>
      <c r="AJ79" s="219"/>
      <c r="AK79" s="219"/>
      <c r="AL79" s="219"/>
      <c r="AM79" s="399"/>
      <c r="AN79" s="399"/>
      <c r="AO79" s="399"/>
      <c r="AP79" s="399"/>
    </row>
    <row r="80" spans="1:42" hidden="1" x14ac:dyDescent="0.25">
      <c r="A80" s="368" t="s">
        <v>0</v>
      </c>
      <c r="B80" s="369"/>
      <c r="C80" s="368" t="s">
        <v>165</v>
      </c>
      <c r="D80" s="71"/>
      <c r="E80" s="72"/>
      <c r="F80" s="201" t="s">
        <v>385</v>
      </c>
      <c r="G80" s="380" t="s">
        <v>495</v>
      </c>
      <c r="H80" s="203" t="s">
        <v>3</v>
      </c>
      <c r="I80" s="203" t="s">
        <v>4</v>
      </c>
      <c r="J80" s="380" t="s">
        <v>323</v>
      </c>
      <c r="K80" s="380" t="s">
        <v>5</v>
      </c>
      <c r="L80" s="384" t="s">
        <v>6</v>
      </c>
      <c r="M80" s="357"/>
      <c r="N80" s="357"/>
      <c r="O80" s="355"/>
      <c r="P80" s="355"/>
      <c r="Q80" s="355"/>
      <c r="R80" s="355"/>
      <c r="S80" s="355"/>
      <c r="T80" s="355"/>
      <c r="U80" s="355"/>
      <c r="V80" s="355"/>
      <c r="W80" s="355"/>
      <c r="X80" s="355"/>
      <c r="Y80" s="355"/>
      <c r="Z80" s="355"/>
      <c r="AA80" s="355"/>
      <c r="AB80" s="355"/>
      <c r="AC80" s="355"/>
      <c r="AD80" s="355"/>
      <c r="AE80" s="355"/>
      <c r="AF80" s="355"/>
      <c r="AG80" s="355"/>
      <c r="AH80" s="355"/>
      <c r="AI80" s="355"/>
      <c r="AJ80" s="219"/>
      <c r="AK80" s="219"/>
      <c r="AL80" s="219"/>
      <c r="AM80" s="399"/>
      <c r="AN80" s="399"/>
      <c r="AO80" s="399"/>
      <c r="AP80" s="399"/>
    </row>
    <row r="81" spans="1:42" hidden="1" x14ac:dyDescent="0.25">
      <c r="A81" s="370"/>
      <c r="B81" s="371"/>
      <c r="C81" s="370"/>
      <c r="D81" s="74"/>
      <c r="E81" s="75"/>
      <c r="F81" s="202" t="s">
        <v>386</v>
      </c>
      <c r="G81" s="381"/>
      <c r="H81" s="204" t="s">
        <v>8</v>
      </c>
      <c r="I81" s="204" t="s">
        <v>9</v>
      </c>
      <c r="J81" s="381"/>
      <c r="K81" s="381"/>
      <c r="L81" s="385"/>
      <c r="M81" s="357"/>
      <c r="N81" s="357"/>
      <c r="O81" s="355"/>
      <c r="P81" s="355"/>
      <c r="Q81" s="355"/>
      <c r="R81" s="355"/>
      <c r="S81" s="355"/>
      <c r="T81" s="355"/>
      <c r="U81" s="355"/>
      <c r="V81" s="355"/>
      <c r="W81" s="355"/>
      <c r="X81" s="355"/>
      <c r="Y81" s="355"/>
      <c r="Z81" s="355"/>
      <c r="AA81" s="355"/>
      <c r="AB81" s="355"/>
      <c r="AC81" s="355"/>
      <c r="AD81" s="355"/>
      <c r="AE81" s="355"/>
      <c r="AF81" s="355"/>
      <c r="AG81" s="355"/>
      <c r="AH81" s="355"/>
      <c r="AI81" s="355"/>
      <c r="AJ81" s="219"/>
      <c r="AK81" s="219"/>
      <c r="AL81" s="219"/>
      <c r="AM81" s="399"/>
      <c r="AN81" s="399"/>
      <c r="AO81" s="399"/>
      <c r="AP81" s="399"/>
    </row>
    <row r="82" spans="1:42" hidden="1" x14ac:dyDescent="0.25">
      <c r="A82" s="331"/>
      <c r="B82" s="48" t="s">
        <v>10</v>
      </c>
      <c r="C82" s="81" t="s">
        <v>24</v>
      </c>
      <c r="D82" s="82"/>
      <c r="E82" s="80" t="s">
        <v>464</v>
      </c>
      <c r="F82" s="180" t="s">
        <v>391</v>
      </c>
      <c r="G82" s="176">
        <v>8712815038476</v>
      </c>
      <c r="H82" s="13">
        <v>1</v>
      </c>
      <c r="I82" s="13">
        <v>1</v>
      </c>
      <c r="J82" s="22" t="s">
        <v>25</v>
      </c>
      <c r="K82" s="5" t="s">
        <v>26</v>
      </c>
      <c r="L82" s="200"/>
      <c r="M82" s="356" t="s">
        <v>30</v>
      </c>
      <c r="N82" s="354" t="s">
        <v>731</v>
      </c>
      <c r="O82" s="355"/>
      <c r="P82" s="355">
        <v>7.0999999999999994E-2</v>
      </c>
      <c r="Q82" s="355"/>
      <c r="R82" s="355">
        <v>30</v>
      </c>
      <c r="S82" s="355" t="s">
        <v>562</v>
      </c>
      <c r="T82" s="355" t="s">
        <v>562</v>
      </c>
      <c r="U82" s="355">
        <f t="shared" ref="U82:U102" si="23">A82</f>
        <v>0</v>
      </c>
      <c r="V82" s="355"/>
      <c r="W82" s="360" t="str">
        <f>IF(U82=0,"",COUNTIF(W$27:W81,"&gt;0")+1)</f>
        <v/>
      </c>
      <c r="X82" s="360" t="str">
        <f>IF(U82=0,"",COUNTIF(X$27:X81,"&gt;0")+1)</f>
        <v/>
      </c>
      <c r="Y82" s="355"/>
      <c r="Z82" s="355"/>
      <c r="AA82" s="355"/>
      <c r="AB82" s="355"/>
      <c r="AC82" s="355"/>
      <c r="AD82" s="355"/>
      <c r="AE82" s="355"/>
      <c r="AF82" s="355"/>
      <c r="AG82" s="355"/>
      <c r="AH82" s="355"/>
      <c r="AI82" s="355"/>
      <c r="AJ82" s="219"/>
      <c r="AK82" s="219"/>
      <c r="AL82" s="219"/>
      <c r="AM82" s="399"/>
      <c r="AN82" s="399"/>
      <c r="AO82" s="399"/>
      <c r="AP82" s="399"/>
    </row>
    <row r="83" spans="1:42" hidden="1" x14ac:dyDescent="0.25">
      <c r="A83" s="331"/>
      <c r="B83" s="48" t="s">
        <v>10</v>
      </c>
      <c r="C83" s="226" t="s">
        <v>334</v>
      </c>
      <c r="D83" s="79"/>
      <c r="E83" s="80" t="s">
        <v>350</v>
      </c>
      <c r="F83" s="180" t="s">
        <v>388</v>
      </c>
      <c r="G83" s="176">
        <v>8713469104326</v>
      </c>
      <c r="H83" s="19">
        <v>3</v>
      </c>
      <c r="I83" s="13">
        <v>1</v>
      </c>
      <c r="J83" s="22" t="s">
        <v>349</v>
      </c>
      <c r="K83" s="5">
        <v>1</v>
      </c>
      <c r="L83" s="200"/>
      <c r="M83" s="356" t="s">
        <v>30</v>
      </c>
      <c r="N83" s="355" t="s">
        <v>733</v>
      </c>
      <c r="O83" s="355"/>
      <c r="P83" s="355">
        <v>7.0999999999999994E-2</v>
      </c>
      <c r="Q83" s="355"/>
      <c r="R83" s="355">
        <v>30</v>
      </c>
      <c r="S83" s="355" t="s">
        <v>562</v>
      </c>
      <c r="T83" s="355" t="s">
        <v>562</v>
      </c>
      <c r="U83" s="355">
        <f t="shared" si="23"/>
        <v>0</v>
      </c>
      <c r="V83" s="355"/>
      <c r="W83" s="360" t="str">
        <f>IF(U83=0,"",COUNTIF(W$27:W82,"&gt;0")+1)</f>
        <v/>
      </c>
      <c r="X83" s="360" t="str">
        <f>IF(U83=0,"",COUNTIF(X$27:X82,"&gt;0")+1)</f>
        <v/>
      </c>
      <c r="Y83" s="355"/>
      <c r="Z83" s="355"/>
      <c r="AA83" s="355"/>
      <c r="AB83" s="355"/>
      <c r="AC83" s="355"/>
      <c r="AD83" s="355"/>
      <c r="AE83" s="355"/>
      <c r="AF83" s="355"/>
      <c r="AG83" s="355"/>
      <c r="AH83" s="355"/>
      <c r="AI83" s="355"/>
      <c r="AJ83" s="219"/>
      <c r="AK83" s="219"/>
      <c r="AL83" s="219"/>
      <c r="AM83" s="399"/>
      <c r="AN83" s="399"/>
      <c r="AO83" s="399"/>
      <c r="AP83" s="399"/>
    </row>
    <row r="84" spans="1:42" hidden="1" x14ac:dyDescent="0.25">
      <c r="A84" s="331"/>
      <c r="B84" s="48" t="s">
        <v>10</v>
      </c>
      <c r="C84" s="150" t="s">
        <v>519</v>
      </c>
      <c r="D84" s="85"/>
      <c r="E84" s="80" t="s">
        <v>370</v>
      </c>
      <c r="F84" s="180" t="s">
        <v>388</v>
      </c>
      <c r="G84" s="176">
        <v>8713469104388</v>
      </c>
      <c r="H84" s="13">
        <v>1</v>
      </c>
      <c r="I84" s="18">
        <v>2</v>
      </c>
      <c r="J84" s="22" t="s">
        <v>351</v>
      </c>
      <c r="K84" s="5" t="s">
        <v>26</v>
      </c>
      <c r="L84" s="200"/>
      <c r="M84" s="356" t="s">
        <v>30</v>
      </c>
      <c r="N84" s="355" t="s">
        <v>736</v>
      </c>
      <c r="O84" s="355"/>
      <c r="P84" s="355">
        <v>7.0999999999999994E-2</v>
      </c>
      <c r="Q84" s="355"/>
      <c r="R84" s="355">
        <v>30</v>
      </c>
      <c r="S84" s="355" t="s">
        <v>562</v>
      </c>
      <c r="T84" s="355" t="s">
        <v>562</v>
      </c>
      <c r="U84" s="355">
        <f t="shared" si="23"/>
        <v>0</v>
      </c>
      <c r="V84" s="355"/>
      <c r="W84" s="360" t="str">
        <f>IF(U84=0,"",COUNTIF(W$27:W83,"&gt;0")+1)</f>
        <v/>
      </c>
      <c r="X84" s="360" t="str">
        <f>IF(U84=0,"",COUNTIF(X$27:X83,"&gt;0")+1)</f>
        <v/>
      </c>
      <c r="Y84" s="355"/>
      <c r="Z84" s="355"/>
      <c r="AA84" s="355"/>
      <c r="AB84" s="355"/>
      <c r="AC84" s="355"/>
      <c r="AD84" s="355"/>
      <c r="AE84" s="355"/>
      <c r="AF84" s="355"/>
      <c r="AG84" s="355"/>
      <c r="AH84" s="355"/>
      <c r="AI84" s="355"/>
      <c r="AJ84" s="219"/>
      <c r="AK84" s="219"/>
      <c r="AL84" s="219"/>
      <c r="AM84" s="399"/>
      <c r="AN84" s="399"/>
      <c r="AO84" s="399"/>
      <c r="AP84" s="399"/>
    </row>
    <row r="85" spans="1:42" hidden="1" x14ac:dyDescent="0.25">
      <c r="A85" s="333"/>
      <c r="B85" s="48" t="s">
        <v>10</v>
      </c>
      <c r="C85" s="151" t="s">
        <v>335</v>
      </c>
      <c r="D85" s="152"/>
      <c r="E85" s="137" t="s">
        <v>369</v>
      </c>
      <c r="F85" s="181" t="s">
        <v>388</v>
      </c>
      <c r="G85" s="176">
        <v>8713469104395</v>
      </c>
      <c r="H85" s="13">
        <v>1</v>
      </c>
      <c r="I85" s="13">
        <v>1</v>
      </c>
      <c r="J85" s="22" t="s">
        <v>352</v>
      </c>
      <c r="K85" s="5" t="s">
        <v>26</v>
      </c>
      <c r="L85" s="200"/>
      <c r="M85" s="356" t="s">
        <v>30</v>
      </c>
      <c r="N85" s="355" t="s">
        <v>737</v>
      </c>
      <c r="O85" s="355"/>
      <c r="P85" s="355">
        <v>7.0999999999999994E-2</v>
      </c>
      <c r="Q85" s="355"/>
      <c r="R85" s="355">
        <v>30</v>
      </c>
      <c r="S85" s="355" t="s">
        <v>562</v>
      </c>
      <c r="T85" s="355" t="s">
        <v>562</v>
      </c>
      <c r="U85" s="355">
        <f t="shared" si="23"/>
        <v>0</v>
      </c>
      <c r="V85" s="355"/>
      <c r="W85" s="360" t="str">
        <f>IF(U85=0,"",COUNTIF(W$27:W84,"&gt;0")+1)</f>
        <v/>
      </c>
      <c r="X85" s="360" t="str">
        <f>IF(U85=0,"",COUNTIF(X$27:X84,"&gt;0")+1)</f>
        <v/>
      </c>
      <c r="Y85" s="355"/>
      <c r="Z85" s="355"/>
      <c r="AA85" s="355"/>
      <c r="AB85" s="355"/>
      <c r="AC85" s="355"/>
      <c r="AD85" s="355"/>
      <c r="AE85" s="355"/>
      <c r="AF85" s="355"/>
      <c r="AG85" s="355"/>
      <c r="AH85" s="355"/>
      <c r="AI85" s="355"/>
      <c r="AJ85" s="219"/>
      <c r="AK85" s="219"/>
      <c r="AL85" s="219"/>
      <c r="AM85" s="399"/>
      <c r="AN85" s="399"/>
      <c r="AO85" s="399"/>
      <c r="AP85" s="399"/>
    </row>
    <row r="86" spans="1:42" hidden="1" x14ac:dyDescent="0.25">
      <c r="A86" s="331"/>
      <c r="B86" s="48" t="s">
        <v>10</v>
      </c>
      <c r="C86" s="78" t="s">
        <v>49</v>
      </c>
      <c r="D86" s="79"/>
      <c r="E86" s="80" t="s">
        <v>50</v>
      </c>
      <c r="F86" s="180" t="s">
        <v>388</v>
      </c>
      <c r="G86" s="176">
        <v>8713469104609</v>
      </c>
      <c r="H86" s="13">
        <v>1</v>
      </c>
      <c r="I86" s="18">
        <v>2</v>
      </c>
      <c r="J86" s="22" t="s">
        <v>51</v>
      </c>
      <c r="K86" s="5" t="s">
        <v>13</v>
      </c>
      <c r="L86" s="200"/>
      <c r="M86" s="356" t="s">
        <v>30</v>
      </c>
      <c r="N86" s="354" t="s">
        <v>740</v>
      </c>
      <c r="O86" s="355"/>
      <c r="P86" s="355">
        <v>7.0999999999999994E-2</v>
      </c>
      <c r="Q86" s="355"/>
      <c r="R86" s="355">
        <v>30</v>
      </c>
      <c r="S86" s="355" t="s">
        <v>562</v>
      </c>
      <c r="T86" s="355" t="s">
        <v>562</v>
      </c>
      <c r="U86" s="355">
        <f t="shared" si="23"/>
        <v>0</v>
      </c>
      <c r="V86" s="355"/>
      <c r="W86" s="360" t="str">
        <f>IF(U86=0,"",COUNTIF(W$27:W85,"&gt;0")+1)</f>
        <v/>
      </c>
      <c r="X86" s="360" t="str">
        <f>IF(U86=0,"",COUNTIF(X$27:X85,"&gt;0")+1)</f>
        <v/>
      </c>
      <c r="Y86" s="355"/>
      <c r="Z86" s="355"/>
      <c r="AA86" s="355"/>
      <c r="AB86" s="355"/>
      <c r="AC86" s="355"/>
      <c r="AD86" s="355"/>
      <c r="AE86" s="355"/>
      <c r="AF86" s="355"/>
      <c r="AG86" s="355"/>
      <c r="AH86" s="355"/>
      <c r="AI86" s="355"/>
      <c r="AJ86" s="219"/>
      <c r="AK86" s="219"/>
      <c r="AL86" s="219"/>
      <c r="AM86" s="399"/>
      <c r="AN86" s="399"/>
      <c r="AO86" s="399"/>
      <c r="AP86" s="399"/>
    </row>
    <row r="87" spans="1:42" hidden="1" x14ac:dyDescent="0.25">
      <c r="A87" s="331"/>
      <c r="B87" s="48" t="s">
        <v>10</v>
      </c>
      <c r="C87" s="153" t="s">
        <v>547</v>
      </c>
      <c r="D87" s="79"/>
      <c r="E87" s="80" t="s">
        <v>360</v>
      </c>
      <c r="F87" s="180" t="s">
        <v>390</v>
      </c>
      <c r="G87" s="176">
        <v>8718226850294</v>
      </c>
      <c r="H87" s="13">
        <v>1</v>
      </c>
      <c r="I87" s="18">
        <v>2</v>
      </c>
      <c r="J87" s="52" t="s">
        <v>362</v>
      </c>
      <c r="K87" s="5" t="s">
        <v>26</v>
      </c>
      <c r="L87" s="200"/>
      <c r="M87" s="356" t="s">
        <v>30</v>
      </c>
      <c r="N87" s="355" t="s">
        <v>748</v>
      </c>
      <c r="O87" s="355"/>
      <c r="P87" s="355">
        <v>7.0999999999999994E-2</v>
      </c>
      <c r="Q87" s="355"/>
      <c r="R87" s="355">
        <v>30</v>
      </c>
      <c r="S87" s="355" t="s">
        <v>562</v>
      </c>
      <c r="T87" s="355" t="s">
        <v>562</v>
      </c>
      <c r="U87" s="355">
        <f t="shared" si="23"/>
        <v>0</v>
      </c>
      <c r="V87" s="355"/>
      <c r="W87" s="360" t="str">
        <f>IF(U87=0,"",COUNTIF(W$27:W86,"&gt;0")+1)</f>
        <v/>
      </c>
      <c r="X87" s="360" t="str">
        <f>IF(U87=0,"",COUNTIF(X$27:X86,"&gt;0")+1)</f>
        <v/>
      </c>
      <c r="Y87" s="355"/>
      <c r="Z87" s="355"/>
      <c r="AA87" s="355"/>
      <c r="AB87" s="355"/>
      <c r="AC87" s="355"/>
      <c r="AD87" s="355"/>
      <c r="AE87" s="355"/>
      <c r="AF87" s="355"/>
      <c r="AG87" s="355"/>
      <c r="AH87" s="355"/>
      <c r="AI87" s="355"/>
      <c r="AJ87" s="219"/>
      <c r="AK87" s="219"/>
      <c r="AL87" s="219"/>
      <c r="AM87" s="399"/>
      <c r="AN87" s="399"/>
      <c r="AO87" s="399"/>
      <c r="AP87" s="399"/>
    </row>
    <row r="88" spans="1:42" hidden="1" x14ac:dyDescent="0.25">
      <c r="A88" s="331"/>
      <c r="B88" s="48" t="s">
        <v>10</v>
      </c>
      <c r="C88" s="153" t="s">
        <v>521</v>
      </c>
      <c r="D88" s="79"/>
      <c r="E88" s="80" t="s">
        <v>360</v>
      </c>
      <c r="F88" s="180" t="s">
        <v>388</v>
      </c>
      <c r="G88" s="176">
        <v>8712044982489</v>
      </c>
      <c r="H88" s="13">
        <v>1</v>
      </c>
      <c r="I88" s="13">
        <v>1</v>
      </c>
      <c r="J88" s="52" t="s">
        <v>363</v>
      </c>
      <c r="K88" s="5" t="s">
        <v>26</v>
      </c>
      <c r="L88" s="200"/>
      <c r="M88" s="356" t="s">
        <v>30</v>
      </c>
      <c r="N88" s="355" t="s">
        <v>749</v>
      </c>
      <c r="O88" s="355"/>
      <c r="P88" s="355">
        <v>7.0999999999999994E-2</v>
      </c>
      <c r="Q88" s="355"/>
      <c r="R88" s="355">
        <v>30</v>
      </c>
      <c r="S88" s="355" t="s">
        <v>562</v>
      </c>
      <c r="T88" s="355" t="s">
        <v>562</v>
      </c>
      <c r="U88" s="355">
        <f t="shared" si="23"/>
        <v>0</v>
      </c>
      <c r="V88" s="355"/>
      <c r="W88" s="360" t="str">
        <f>IF(U88=0,"",COUNTIF(W$27:W87,"&gt;0")+1)</f>
        <v/>
      </c>
      <c r="X88" s="360" t="str">
        <f>IF(U88=0,"",COUNTIF(X$27:X87,"&gt;0")+1)</f>
        <v/>
      </c>
      <c r="Y88" s="355"/>
      <c r="Z88" s="355"/>
      <c r="AA88" s="355"/>
      <c r="AB88" s="355"/>
      <c r="AC88" s="355"/>
      <c r="AD88" s="355"/>
      <c r="AE88" s="355"/>
      <c r="AF88" s="355"/>
      <c r="AG88" s="355"/>
      <c r="AH88" s="355"/>
      <c r="AI88" s="355"/>
      <c r="AJ88" s="219"/>
      <c r="AK88" s="219"/>
      <c r="AL88" s="219"/>
      <c r="AM88" s="399"/>
      <c r="AN88" s="399"/>
      <c r="AO88" s="399"/>
      <c r="AP88" s="399"/>
    </row>
    <row r="89" spans="1:42" hidden="1" x14ac:dyDescent="0.25">
      <c r="A89" s="334"/>
      <c r="B89" s="48" t="s">
        <v>10</v>
      </c>
      <c r="C89" s="153" t="s">
        <v>340</v>
      </c>
      <c r="D89" s="147"/>
      <c r="E89" s="80" t="s">
        <v>367</v>
      </c>
      <c r="F89" s="180" t="s">
        <v>390</v>
      </c>
      <c r="G89" s="176">
        <v>8719743712751</v>
      </c>
      <c r="H89" s="13">
        <v>1</v>
      </c>
      <c r="I89" s="13">
        <v>1</v>
      </c>
      <c r="J89" s="136" t="s">
        <v>365</v>
      </c>
      <c r="K89" s="5" t="s">
        <v>13</v>
      </c>
      <c r="L89" s="14"/>
      <c r="M89" s="356" t="s">
        <v>30</v>
      </c>
      <c r="N89" s="355" t="s">
        <v>753</v>
      </c>
      <c r="O89" s="355"/>
      <c r="P89" s="355">
        <v>7.0999999999999994E-2</v>
      </c>
      <c r="Q89" s="355"/>
      <c r="R89" s="355">
        <v>30</v>
      </c>
      <c r="S89" s="355" t="s">
        <v>562</v>
      </c>
      <c r="T89" s="355" t="s">
        <v>562</v>
      </c>
      <c r="U89" s="355">
        <f t="shared" si="23"/>
        <v>0</v>
      </c>
      <c r="V89" s="355"/>
      <c r="W89" s="360" t="str">
        <f>IF(U89=0,"",COUNTIF(W$27:W88,"&gt;0")+1)</f>
        <v/>
      </c>
      <c r="X89" s="360" t="str">
        <f>IF(U89=0,"",COUNTIF(X$27:X88,"&gt;0")+1)</f>
        <v/>
      </c>
      <c r="Y89" s="355"/>
      <c r="Z89" s="355"/>
      <c r="AA89" s="355"/>
      <c r="AB89" s="355"/>
      <c r="AC89" s="355"/>
      <c r="AD89" s="355"/>
      <c r="AE89" s="355"/>
      <c r="AF89" s="355"/>
      <c r="AG89" s="355"/>
      <c r="AH89" s="355"/>
      <c r="AI89" s="355"/>
      <c r="AJ89" s="219"/>
      <c r="AK89" s="219"/>
      <c r="AL89" s="219"/>
      <c r="AM89" s="399"/>
      <c r="AN89" s="399"/>
      <c r="AO89" s="399"/>
      <c r="AP89" s="399"/>
    </row>
    <row r="90" spans="1:42" hidden="1" x14ac:dyDescent="0.25">
      <c r="A90" s="334"/>
      <c r="B90" s="48" t="s">
        <v>10</v>
      </c>
      <c r="C90" s="154" t="s">
        <v>341</v>
      </c>
      <c r="D90" s="147"/>
      <c r="E90" s="80" t="s">
        <v>368</v>
      </c>
      <c r="F90" s="180" t="s">
        <v>390</v>
      </c>
      <c r="G90" s="176">
        <v>8719743712768</v>
      </c>
      <c r="H90" s="13">
        <v>1</v>
      </c>
      <c r="I90" s="13">
        <v>1</v>
      </c>
      <c r="J90" s="136" t="s">
        <v>364</v>
      </c>
      <c r="K90" s="5" t="s">
        <v>13</v>
      </c>
      <c r="L90" s="14"/>
      <c r="M90" s="356" t="s">
        <v>30</v>
      </c>
      <c r="N90" s="355" t="s">
        <v>754</v>
      </c>
      <c r="O90" s="355"/>
      <c r="P90" s="355">
        <v>7.0999999999999994E-2</v>
      </c>
      <c r="Q90" s="355"/>
      <c r="R90" s="355">
        <v>30</v>
      </c>
      <c r="S90" s="355" t="s">
        <v>562</v>
      </c>
      <c r="T90" s="355" t="s">
        <v>562</v>
      </c>
      <c r="U90" s="355">
        <f t="shared" si="23"/>
        <v>0</v>
      </c>
      <c r="V90" s="355"/>
      <c r="W90" s="360" t="str">
        <f>IF(U90=0,"",COUNTIF(W$27:W89,"&gt;0")+1)</f>
        <v/>
      </c>
      <c r="X90" s="360" t="str">
        <f>IF(U90=0,"",COUNTIF(X$27:X89,"&gt;0")+1)</f>
        <v/>
      </c>
      <c r="Y90" s="355"/>
      <c r="Z90" s="355"/>
      <c r="AA90" s="355"/>
      <c r="AB90" s="355"/>
      <c r="AC90" s="355"/>
      <c r="AD90" s="355"/>
      <c r="AE90" s="355"/>
      <c r="AF90" s="355"/>
      <c r="AG90" s="355"/>
      <c r="AH90" s="355"/>
      <c r="AI90" s="355"/>
      <c r="AJ90" s="219"/>
      <c r="AK90" s="219"/>
      <c r="AL90" s="219"/>
      <c r="AM90" s="399"/>
      <c r="AN90" s="399"/>
      <c r="AO90" s="399"/>
      <c r="AP90" s="399"/>
    </row>
    <row r="91" spans="1:42" hidden="1" x14ac:dyDescent="0.25">
      <c r="A91" s="335"/>
      <c r="B91" s="48" t="s">
        <v>10</v>
      </c>
      <c r="C91" s="154" t="s">
        <v>342</v>
      </c>
      <c r="D91" s="147"/>
      <c r="E91" s="80" t="s">
        <v>463</v>
      </c>
      <c r="F91" s="180" t="s">
        <v>390</v>
      </c>
      <c r="G91" s="176">
        <v>8713469104906</v>
      </c>
      <c r="H91" s="18">
        <v>2</v>
      </c>
      <c r="I91" s="13">
        <v>1</v>
      </c>
      <c r="J91" s="136" t="s">
        <v>366</v>
      </c>
      <c r="K91" s="5" t="s">
        <v>13</v>
      </c>
      <c r="L91" s="14"/>
      <c r="M91" s="356" t="s">
        <v>30</v>
      </c>
      <c r="N91" s="355" t="s">
        <v>755</v>
      </c>
      <c r="O91" s="355"/>
      <c r="P91" s="355">
        <v>7.0999999999999994E-2</v>
      </c>
      <c r="Q91" s="355"/>
      <c r="R91" s="355">
        <v>30</v>
      </c>
      <c r="S91" s="355" t="s">
        <v>562</v>
      </c>
      <c r="T91" s="355" t="s">
        <v>562</v>
      </c>
      <c r="U91" s="355">
        <f t="shared" si="23"/>
        <v>0</v>
      </c>
      <c r="V91" s="355"/>
      <c r="W91" s="360" t="str">
        <f>IF(U91=0,"",COUNTIF(W$27:W90,"&gt;0")+1)</f>
        <v/>
      </c>
      <c r="X91" s="360" t="str">
        <f>IF(U91=0,"",COUNTIF(X$27:X90,"&gt;0")+1)</f>
        <v/>
      </c>
      <c r="Y91" s="355"/>
      <c r="Z91" s="355"/>
      <c r="AA91" s="355"/>
      <c r="AB91" s="355"/>
      <c r="AC91" s="355"/>
      <c r="AD91" s="355"/>
      <c r="AE91" s="355"/>
      <c r="AF91" s="355"/>
      <c r="AG91" s="355"/>
      <c r="AH91" s="355"/>
      <c r="AI91" s="355"/>
      <c r="AJ91" s="219"/>
      <c r="AK91" s="219"/>
      <c r="AL91" s="219"/>
      <c r="AM91" s="399"/>
      <c r="AN91" s="399"/>
      <c r="AO91" s="399"/>
      <c r="AP91" s="399"/>
    </row>
    <row r="92" spans="1:42" hidden="1" x14ac:dyDescent="0.25">
      <c r="A92" s="331"/>
      <c r="B92" s="48" t="s">
        <v>10</v>
      </c>
      <c r="C92" s="78" t="s">
        <v>475</v>
      </c>
      <c r="D92" s="79"/>
      <c r="E92" s="87" t="s">
        <v>527</v>
      </c>
      <c r="F92" s="183" t="s">
        <v>388</v>
      </c>
      <c r="G92" s="176">
        <v>8713469103275</v>
      </c>
      <c r="H92" s="13">
        <v>1</v>
      </c>
      <c r="I92" s="18">
        <v>2</v>
      </c>
      <c r="J92" s="22" t="s">
        <v>196</v>
      </c>
      <c r="K92" s="5" t="s">
        <v>18</v>
      </c>
      <c r="L92" s="200"/>
      <c r="M92" s="356" t="s">
        <v>30</v>
      </c>
      <c r="N92" s="355" t="s">
        <v>779</v>
      </c>
      <c r="O92" s="355"/>
      <c r="P92" s="355">
        <v>7.0999999999999994E-2</v>
      </c>
      <c r="Q92" s="355"/>
      <c r="R92" s="355">
        <v>30</v>
      </c>
      <c r="S92" s="355" t="s">
        <v>562</v>
      </c>
      <c r="T92" s="355" t="s">
        <v>562</v>
      </c>
      <c r="U92" s="355">
        <f t="shared" si="23"/>
        <v>0</v>
      </c>
      <c r="V92" s="355"/>
      <c r="W92" s="360" t="str">
        <f>IF(U92=0,"",COUNTIF(W$27:W91,"&gt;0")+1)</f>
        <v/>
      </c>
      <c r="X92" s="360" t="str">
        <f>IF(U92=0,"",COUNTIF(X$27:X91,"&gt;0")+1)</f>
        <v/>
      </c>
      <c r="Y92" s="355"/>
      <c r="Z92" s="355"/>
      <c r="AA92" s="355"/>
      <c r="AB92" s="355"/>
      <c r="AC92" s="355"/>
      <c r="AD92" s="355"/>
      <c r="AE92" s="355"/>
      <c r="AF92" s="355"/>
      <c r="AG92" s="355"/>
      <c r="AH92" s="355"/>
      <c r="AI92" s="355"/>
      <c r="AJ92" s="219"/>
      <c r="AK92" s="219"/>
      <c r="AL92" s="219"/>
      <c r="AM92" s="399"/>
      <c r="AN92" s="399"/>
      <c r="AO92" s="399"/>
      <c r="AP92" s="399"/>
    </row>
    <row r="93" spans="1:42" hidden="1" x14ac:dyDescent="0.25">
      <c r="A93" s="333"/>
      <c r="B93" s="48" t="s">
        <v>10</v>
      </c>
      <c r="C93" s="156" t="s">
        <v>345</v>
      </c>
      <c r="D93" s="147"/>
      <c r="E93" s="80" t="s">
        <v>374</v>
      </c>
      <c r="F93" s="180" t="s">
        <v>391</v>
      </c>
      <c r="G93" s="176">
        <v>8712815729022</v>
      </c>
      <c r="H93" s="18">
        <v>2</v>
      </c>
      <c r="I93" s="13">
        <v>1</v>
      </c>
      <c r="J93" s="136" t="s">
        <v>375</v>
      </c>
      <c r="K93" s="5" t="s">
        <v>26</v>
      </c>
      <c r="L93" s="200" t="s">
        <v>23</v>
      </c>
      <c r="M93" s="356" t="s">
        <v>30</v>
      </c>
      <c r="N93" s="355" t="s">
        <v>785</v>
      </c>
      <c r="O93" s="355"/>
      <c r="P93" s="355">
        <v>7.0999999999999994E-2</v>
      </c>
      <c r="Q93" s="355"/>
      <c r="R93" s="355">
        <v>30</v>
      </c>
      <c r="S93" s="355" t="s">
        <v>562</v>
      </c>
      <c r="T93" s="355" t="s">
        <v>562</v>
      </c>
      <c r="U93" s="355">
        <f t="shared" si="23"/>
        <v>0</v>
      </c>
      <c r="V93" s="355"/>
      <c r="W93" s="360" t="str">
        <f>IF(U93=0,"",COUNTIF(W$27:W92,"&gt;0")+1)</f>
        <v/>
      </c>
      <c r="X93" s="360" t="str">
        <f>IF(U93=0,"",COUNTIF(X$27:X92,"&gt;0")+1)</f>
        <v/>
      </c>
      <c r="Y93" s="355"/>
      <c r="Z93" s="355"/>
      <c r="AA93" s="355"/>
      <c r="AB93" s="355"/>
      <c r="AC93" s="355"/>
      <c r="AD93" s="355"/>
      <c r="AE93" s="355"/>
      <c r="AF93" s="355"/>
      <c r="AG93" s="355"/>
      <c r="AH93" s="355"/>
      <c r="AI93" s="355"/>
      <c r="AJ93" s="219"/>
      <c r="AK93" s="219"/>
      <c r="AL93" s="219"/>
      <c r="AM93" s="399"/>
      <c r="AN93" s="399"/>
      <c r="AO93" s="399"/>
      <c r="AP93" s="399"/>
    </row>
    <row r="94" spans="1:42" hidden="1" x14ac:dyDescent="0.25">
      <c r="A94" s="335"/>
      <c r="B94" s="48" t="s">
        <v>10</v>
      </c>
      <c r="C94" s="155" t="s">
        <v>346</v>
      </c>
      <c r="D94" s="152"/>
      <c r="E94" s="80" t="s">
        <v>376</v>
      </c>
      <c r="F94" s="180" t="s">
        <v>388</v>
      </c>
      <c r="G94" s="176">
        <v>8712815038292</v>
      </c>
      <c r="H94" s="13">
        <v>1</v>
      </c>
      <c r="I94" s="13">
        <v>1</v>
      </c>
      <c r="J94" s="138" t="s">
        <v>377</v>
      </c>
      <c r="K94" s="5" t="s">
        <v>26</v>
      </c>
      <c r="L94" s="14"/>
      <c r="M94" s="356" t="s">
        <v>30</v>
      </c>
      <c r="N94" s="355" t="s">
        <v>786</v>
      </c>
      <c r="O94" s="355"/>
      <c r="P94" s="355">
        <v>7.0999999999999994E-2</v>
      </c>
      <c r="Q94" s="355"/>
      <c r="R94" s="355">
        <v>30</v>
      </c>
      <c r="S94" s="355" t="s">
        <v>562</v>
      </c>
      <c r="T94" s="355" t="s">
        <v>562</v>
      </c>
      <c r="U94" s="355">
        <f t="shared" si="23"/>
        <v>0</v>
      </c>
      <c r="V94" s="355"/>
      <c r="W94" s="360" t="str">
        <f>IF(U94=0,"",COUNTIF(W$27:W93,"&gt;0")+1)</f>
        <v/>
      </c>
      <c r="X94" s="360" t="str">
        <f>IF(U94=0,"",COUNTIF(X$27:X93,"&gt;0")+1)</f>
        <v/>
      </c>
      <c r="Y94" s="355"/>
      <c r="Z94" s="355"/>
      <c r="AA94" s="355"/>
      <c r="AB94" s="355"/>
      <c r="AC94" s="355"/>
      <c r="AD94" s="355"/>
      <c r="AE94" s="355"/>
      <c r="AF94" s="355"/>
      <c r="AG94" s="355"/>
      <c r="AH94" s="355"/>
      <c r="AI94" s="355"/>
      <c r="AJ94" s="219"/>
      <c r="AK94" s="219"/>
      <c r="AL94" s="219"/>
      <c r="AM94" s="399"/>
      <c r="AN94" s="399"/>
      <c r="AO94" s="399"/>
      <c r="AP94" s="399"/>
    </row>
    <row r="95" spans="1:42" hidden="1" x14ac:dyDescent="0.25">
      <c r="A95" s="331"/>
      <c r="B95" s="48" t="s">
        <v>10</v>
      </c>
      <c r="C95" s="78" t="s">
        <v>145</v>
      </c>
      <c r="D95" s="79"/>
      <c r="E95" s="80" t="s">
        <v>146</v>
      </c>
      <c r="F95" s="180" t="s">
        <v>388</v>
      </c>
      <c r="G95" s="176">
        <v>8713469105903</v>
      </c>
      <c r="H95" s="13">
        <v>1</v>
      </c>
      <c r="I95" s="13">
        <v>1</v>
      </c>
      <c r="J95" s="22" t="s">
        <v>147</v>
      </c>
      <c r="K95" s="5" t="s">
        <v>18</v>
      </c>
      <c r="L95" s="200" t="s">
        <v>23</v>
      </c>
      <c r="M95" s="356" t="s">
        <v>30</v>
      </c>
      <c r="N95" s="354" t="s">
        <v>787</v>
      </c>
      <c r="O95" s="355"/>
      <c r="P95" s="355">
        <v>7.0999999999999994E-2</v>
      </c>
      <c r="Q95" s="355"/>
      <c r="R95" s="355">
        <v>30</v>
      </c>
      <c r="S95" s="355" t="s">
        <v>562</v>
      </c>
      <c r="T95" s="355" t="s">
        <v>562</v>
      </c>
      <c r="U95" s="355">
        <f t="shared" si="23"/>
        <v>0</v>
      </c>
      <c r="V95" s="355"/>
      <c r="W95" s="360" t="str">
        <f>IF(U95=0,"",COUNTIF(W$27:W94,"&gt;0")+1)</f>
        <v/>
      </c>
      <c r="X95" s="360" t="str">
        <f>IF(U95=0,"",COUNTIF(X$27:X94,"&gt;0")+1)</f>
        <v/>
      </c>
      <c r="Y95" s="355"/>
      <c r="Z95" s="355"/>
      <c r="AA95" s="355"/>
      <c r="AB95" s="355"/>
      <c r="AC95" s="355"/>
      <c r="AD95" s="355"/>
      <c r="AE95" s="355"/>
      <c r="AF95" s="355"/>
      <c r="AG95" s="355"/>
      <c r="AH95" s="355"/>
      <c r="AI95" s="355"/>
      <c r="AJ95" s="219"/>
      <c r="AK95" s="219"/>
      <c r="AL95" s="219"/>
      <c r="AM95" s="399"/>
      <c r="AN95" s="399"/>
      <c r="AO95" s="399"/>
      <c r="AP95" s="399"/>
    </row>
    <row r="96" spans="1:42" hidden="1" x14ac:dyDescent="0.25">
      <c r="A96" s="331"/>
      <c r="B96" s="48" t="s">
        <v>10</v>
      </c>
      <c r="C96" s="78" t="s">
        <v>148</v>
      </c>
      <c r="D96" s="79"/>
      <c r="E96" s="80" t="s">
        <v>149</v>
      </c>
      <c r="F96" s="180" t="s">
        <v>391</v>
      </c>
      <c r="G96" s="176">
        <v>8713469105934</v>
      </c>
      <c r="H96" s="18">
        <v>2</v>
      </c>
      <c r="I96" s="18">
        <v>2</v>
      </c>
      <c r="J96" s="22" t="s">
        <v>150</v>
      </c>
      <c r="K96" s="5" t="s">
        <v>26</v>
      </c>
      <c r="L96" s="200"/>
      <c r="M96" s="356" t="s">
        <v>30</v>
      </c>
      <c r="N96" s="354" t="s">
        <v>788</v>
      </c>
      <c r="O96" s="355"/>
      <c r="P96" s="355">
        <v>7.0999999999999994E-2</v>
      </c>
      <c r="Q96" s="355"/>
      <c r="R96" s="355">
        <v>30</v>
      </c>
      <c r="S96" s="355" t="s">
        <v>562</v>
      </c>
      <c r="T96" s="355" t="s">
        <v>562</v>
      </c>
      <c r="U96" s="355">
        <f t="shared" si="23"/>
        <v>0</v>
      </c>
      <c r="V96" s="355"/>
      <c r="W96" s="360" t="str">
        <f>IF(U96=0,"",COUNTIF(W$27:W95,"&gt;0")+1)</f>
        <v/>
      </c>
      <c r="X96" s="360" t="str">
        <f>IF(U96=0,"",COUNTIF(X$27:X95,"&gt;0")+1)</f>
        <v/>
      </c>
      <c r="Y96" s="355"/>
      <c r="Z96" s="355"/>
      <c r="AA96" s="355"/>
      <c r="AB96" s="355"/>
      <c r="AC96" s="355"/>
      <c r="AD96" s="355"/>
      <c r="AE96" s="355"/>
      <c r="AF96" s="355"/>
      <c r="AG96" s="355"/>
      <c r="AH96" s="355"/>
      <c r="AI96" s="355"/>
      <c r="AJ96" s="219"/>
      <c r="AK96" s="219"/>
      <c r="AL96" s="219"/>
      <c r="AM96" s="399"/>
      <c r="AN96" s="399"/>
      <c r="AO96" s="399"/>
      <c r="AP96" s="399"/>
    </row>
    <row r="97" spans="1:42" hidden="1" x14ac:dyDescent="0.25">
      <c r="A97" s="331"/>
      <c r="B97" s="48" t="s">
        <v>10</v>
      </c>
      <c r="C97" s="157" t="s">
        <v>347</v>
      </c>
      <c r="D97" s="79"/>
      <c r="E97" s="80" t="s">
        <v>471</v>
      </c>
      <c r="F97" s="180" t="s">
        <v>388</v>
      </c>
      <c r="G97" s="176">
        <v>8713469105958</v>
      </c>
      <c r="H97" s="18">
        <v>2</v>
      </c>
      <c r="I97" s="13">
        <v>1</v>
      </c>
      <c r="J97" s="105" t="s">
        <v>378</v>
      </c>
      <c r="K97" s="5" t="s">
        <v>26</v>
      </c>
      <c r="L97" s="200"/>
      <c r="M97" s="356" t="s">
        <v>30</v>
      </c>
      <c r="N97" s="355" t="s">
        <v>789</v>
      </c>
      <c r="O97" s="355"/>
      <c r="P97" s="355">
        <v>7.0999999999999994E-2</v>
      </c>
      <c r="Q97" s="355"/>
      <c r="R97" s="355">
        <v>30</v>
      </c>
      <c r="S97" s="355" t="s">
        <v>562</v>
      </c>
      <c r="T97" s="355" t="s">
        <v>562</v>
      </c>
      <c r="U97" s="355">
        <f t="shared" si="23"/>
        <v>0</v>
      </c>
      <c r="V97" s="355"/>
      <c r="W97" s="360" t="str">
        <f>IF(U97=0,"",COUNTIF(W$27:W96,"&gt;0")+1)</f>
        <v/>
      </c>
      <c r="X97" s="360" t="str">
        <f>IF(U97=0,"",COUNTIF(X$27:X96,"&gt;0")+1)</f>
        <v/>
      </c>
      <c r="Y97" s="355"/>
      <c r="Z97" s="355"/>
      <c r="AA97" s="355"/>
      <c r="AB97" s="355"/>
      <c r="AC97" s="355"/>
      <c r="AD97" s="355"/>
      <c r="AE97" s="355"/>
      <c r="AF97" s="355"/>
      <c r="AG97" s="355"/>
      <c r="AH97" s="355"/>
      <c r="AI97" s="355"/>
      <c r="AJ97" s="219"/>
      <c r="AK97" s="219"/>
      <c r="AL97" s="219"/>
      <c r="AM97" s="399"/>
      <c r="AN97" s="399"/>
      <c r="AO97" s="399"/>
      <c r="AP97" s="399"/>
    </row>
    <row r="98" spans="1:42" hidden="1" x14ac:dyDescent="0.25">
      <c r="A98" s="333"/>
      <c r="B98" s="48" t="s">
        <v>10</v>
      </c>
      <c r="C98" s="156" t="s">
        <v>529</v>
      </c>
      <c r="D98" s="147"/>
      <c r="E98" s="80" t="s">
        <v>471</v>
      </c>
      <c r="F98" s="180" t="s">
        <v>388</v>
      </c>
      <c r="G98" s="176">
        <v>8713469105941</v>
      </c>
      <c r="H98" s="18">
        <v>2</v>
      </c>
      <c r="I98" s="13">
        <v>1</v>
      </c>
      <c r="J98" s="136" t="s">
        <v>379</v>
      </c>
      <c r="K98" s="5" t="s">
        <v>26</v>
      </c>
      <c r="L98" s="14"/>
      <c r="M98" s="356" t="s">
        <v>30</v>
      </c>
      <c r="N98" s="355" t="s">
        <v>790</v>
      </c>
      <c r="O98" s="355"/>
      <c r="P98" s="355">
        <v>7.0999999999999994E-2</v>
      </c>
      <c r="Q98" s="355"/>
      <c r="R98" s="355">
        <v>30</v>
      </c>
      <c r="S98" s="355" t="s">
        <v>562</v>
      </c>
      <c r="T98" s="355" t="s">
        <v>562</v>
      </c>
      <c r="U98" s="355">
        <f t="shared" si="23"/>
        <v>0</v>
      </c>
      <c r="V98" s="355"/>
      <c r="W98" s="360" t="str">
        <f>IF(U98=0,"",COUNTIF(W$27:W97,"&gt;0")+1)</f>
        <v/>
      </c>
      <c r="X98" s="360" t="str">
        <f>IF(U98=0,"",COUNTIF(X$27:X97,"&gt;0")+1)</f>
        <v/>
      </c>
      <c r="Y98" s="355"/>
      <c r="Z98" s="355"/>
      <c r="AA98" s="355"/>
      <c r="AB98" s="355"/>
      <c r="AC98" s="355"/>
      <c r="AD98" s="355"/>
      <c r="AE98" s="355"/>
      <c r="AF98" s="355"/>
      <c r="AG98" s="355"/>
      <c r="AH98" s="355"/>
      <c r="AI98" s="355"/>
      <c r="AJ98" s="219"/>
      <c r="AK98" s="219"/>
      <c r="AL98" s="219"/>
      <c r="AM98" s="399"/>
      <c r="AN98" s="399"/>
      <c r="AO98" s="399"/>
      <c r="AP98" s="399"/>
    </row>
    <row r="99" spans="1:42" hidden="1" x14ac:dyDescent="0.25">
      <c r="A99" s="335"/>
      <c r="B99" s="48" t="s">
        <v>10</v>
      </c>
      <c r="C99" s="151" t="s">
        <v>380</v>
      </c>
      <c r="D99" s="152"/>
      <c r="E99" s="80" t="s">
        <v>381</v>
      </c>
      <c r="F99" s="180" t="s">
        <v>391</v>
      </c>
      <c r="G99" s="176">
        <v>8712815759609</v>
      </c>
      <c r="H99" s="19">
        <v>3</v>
      </c>
      <c r="I99" s="13">
        <v>1</v>
      </c>
      <c r="J99" s="138" t="s">
        <v>382</v>
      </c>
      <c r="K99" s="5" t="s">
        <v>26</v>
      </c>
      <c r="L99" s="14"/>
      <c r="M99" s="356" t="s">
        <v>30</v>
      </c>
      <c r="N99" s="355" t="s">
        <v>791</v>
      </c>
      <c r="O99" s="355"/>
      <c r="P99" s="355">
        <v>7.0999999999999994E-2</v>
      </c>
      <c r="Q99" s="355"/>
      <c r="R99" s="355">
        <v>30</v>
      </c>
      <c r="S99" s="355" t="s">
        <v>562</v>
      </c>
      <c r="T99" s="355" t="s">
        <v>562</v>
      </c>
      <c r="U99" s="355">
        <f t="shared" si="23"/>
        <v>0</v>
      </c>
      <c r="V99" s="355"/>
      <c r="W99" s="360" t="str">
        <f>IF(U99=0,"",COUNTIF(W$27:W98,"&gt;0")+1)</f>
        <v/>
      </c>
      <c r="X99" s="360" t="str">
        <f>IF(U99=0,"",COUNTIF(X$27:X98,"&gt;0")+1)</f>
        <v/>
      </c>
      <c r="Y99" s="355"/>
      <c r="Z99" s="355"/>
      <c r="AA99" s="355"/>
      <c r="AB99" s="355"/>
      <c r="AC99" s="355"/>
      <c r="AD99" s="355"/>
      <c r="AE99" s="355"/>
      <c r="AF99" s="355"/>
      <c r="AG99" s="355"/>
      <c r="AH99" s="355"/>
      <c r="AI99" s="355"/>
      <c r="AJ99" s="219"/>
      <c r="AK99" s="219"/>
      <c r="AL99" s="219"/>
      <c r="AM99" s="399"/>
      <c r="AN99" s="399"/>
      <c r="AO99" s="399"/>
      <c r="AP99" s="399"/>
    </row>
    <row r="100" spans="1:42" hidden="1" x14ac:dyDescent="0.25">
      <c r="A100" s="331"/>
      <c r="B100" s="48" t="s">
        <v>10</v>
      </c>
      <c r="C100" s="45" t="s">
        <v>161</v>
      </c>
      <c r="D100" s="78"/>
      <c r="E100" s="80" t="s">
        <v>162</v>
      </c>
      <c r="F100" s="180" t="s">
        <v>392</v>
      </c>
      <c r="G100" s="176">
        <v>8713469106207</v>
      </c>
      <c r="H100" s="18">
        <v>2</v>
      </c>
      <c r="I100" s="13">
        <v>1</v>
      </c>
      <c r="J100" s="22" t="s">
        <v>163</v>
      </c>
      <c r="K100" s="5" t="s">
        <v>26</v>
      </c>
      <c r="L100" s="200"/>
      <c r="M100" s="356" t="s">
        <v>30</v>
      </c>
      <c r="N100" s="354" t="s">
        <v>795</v>
      </c>
      <c r="O100" s="355"/>
      <c r="P100" s="355">
        <v>7.0999999999999994E-2</v>
      </c>
      <c r="Q100" s="355"/>
      <c r="R100" s="355">
        <v>30</v>
      </c>
      <c r="S100" s="355" t="s">
        <v>562</v>
      </c>
      <c r="T100" s="355" t="s">
        <v>562</v>
      </c>
      <c r="U100" s="355">
        <f t="shared" si="23"/>
        <v>0</v>
      </c>
      <c r="V100" s="355"/>
      <c r="W100" s="360" t="str">
        <f>IF(U100=0,"",COUNTIF(W$27:W99,"&gt;0")+1)</f>
        <v/>
      </c>
      <c r="X100" s="360" t="str">
        <f>IF(U100=0,"",COUNTIF(X$27:X99,"&gt;0")+1)</f>
        <v/>
      </c>
      <c r="Y100" s="355"/>
      <c r="Z100" s="355"/>
      <c r="AA100" s="355"/>
      <c r="AB100" s="355"/>
      <c r="AC100" s="355"/>
      <c r="AD100" s="355"/>
      <c r="AE100" s="355"/>
      <c r="AF100" s="355"/>
      <c r="AG100" s="355"/>
      <c r="AH100" s="355"/>
      <c r="AI100" s="355"/>
      <c r="AJ100" s="219"/>
      <c r="AK100" s="219"/>
      <c r="AL100" s="219"/>
      <c r="AM100" s="399"/>
      <c r="AN100" s="399"/>
      <c r="AO100" s="399"/>
      <c r="AP100" s="399"/>
    </row>
    <row r="101" spans="1:42" hidden="1" x14ac:dyDescent="0.25">
      <c r="A101" s="331"/>
      <c r="B101" s="48" t="s">
        <v>10</v>
      </c>
      <c r="C101" s="158" t="s">
        <v>348</v>
      </c>
      <c r="D101" s="79"/>
      <c r="E101" s="80" t="s">
        <v>383</v>
      </c>
      <c r="F101" s="180" t="s">
        <v>388</v>
      </c>
      <c r="G101" s="176">
        <v>8712815765389</v>
      </c>
      <c r="H101" s="18">
        <v>2</v>
      </c>
      <c r="I101" s="13">
        <v>1</v>
      </c>
      <c r="J101" s="22" t="s">
        <v>384</v>
      </c>
      <c r="K101" s="5" t="s">
        <v>26</v>
      </c>
      <c r="L101" s="200"/>
      <c r="M101" s="356" t="s">
        <v>30</v>
      </c>
      <c r="N101" s="354" t="s">
        <v>796</v>
      </c>
      <c r="O101" s="355"/>
      <c r="P101" s="355">
        <v>7.0999999999999994E-2</v>
      </c>
      <c r="Q101" s="355"/>
      <c r="R101" s="355">
        <v>30</v>
      </c>
      <c r="S101" s="355" t="s">
        <v>562</v>
      </c>
      <c r="T101" s="355" t="s">
        <v>562</v>
      </c>
      <c r="U101" s="355">
        <f t="shared" si="23"/>
        <v>0</v>
      </c>
      <c r="V101" s="355"/>
      <c r="W101" s="360" t="str">
        <f>IF(U101=0,"",COUNTIF(W$27:W100,"&gt;0")+1)</f>
        <v/>
      </c>
      <c r="X101" s="360" t="str">
        <f>IF(U101=0,"",COUNTIF(X$27:X100,"&gt;0")+1)</f>
        <v/>
      </c>
      <c r="Y101" s="355"/>
      <c r="Z101" s="355"/>
      <c r="AA101" s="355"/>
      <c r="AB101" s="355"/>
      <c r="AC101" s="355"/>
      <c r="AD101" s="355"/>
      <c r="AE101" s="355"/>
      <c r="AF101" s="355"/>
      <c r="AG101" s="355"/>
      <c r="AH101" s="355"/>
      <c r="AI101" s="355"/>
      <c r="AJ101" s="219"/>
      <c r="AK101" s="219"/>
      <c r="AL101" s="219"/>
      <c r="AM101" s="399"/>
      <c r="AN101" s="399"/>
      <c r="AO101" s="399"/>
      <c r="AP101" s="399"/>
    </row>
    <row r="102" spans="1:42" hidden="1" x14ac:dyDescent="0.25">
      <c r="A102" s="59">
        <f>SUM(A82:A101)</f>
        <v>0</v>
      </c>
      <c r="B102" s="48" t="s">
        <v>10</v>
      </c>
      <c r="C102" s="143" t="s">
        <v>569</v>
      </c>
      <c r="D102" s="221"/>
      <c r="E102" s="221"/>
      <c r="F102" s="222"/>
      <c r="G102" s="60"/>
      <c r="H102" s="223"/>
      <c r="I102" s="223"/>
      <c r="J102" s="221"/>
      <c r="K102" s="60"/>
      <c r="L102" s="224"/>
      <c r="M102" s="357"/>
      <c r="N102" s="357"/>
      <c r="O102" s="355"/>
      <c r="P102" s="355"/>
      <c r="Q102" s="355"/>
      <c r="R102" s="355"/>
      <c r="S102" s="355" t="s">
        <v>562</v>
      </c>
      <c r="T102" s="355"/>
      <c r="U102" s="355">
        <f t="shared" si="23"/>
        <v>0</v>
      </c>
      <c r="V102" s="355"/>
      <c r="W102" s="360" t="str">
        <f>IF(U102=0,"",COUNTIF(W$27:W101,"&gt;0")+1)</f>
        <v/>
      </c>
      <c r="X102" s="355"/>
      <c r="Y102" s="355"/>
      <c r="Z102" s="355"/>
      <c r="AA102" s="355"/>
      <c r="AB102" s="355"/>
      <c r="AC102" s="355"/>
      <c r="AD102" s="355"/>
      <c r="AE102" s="355"/>
      <c r="AF102" s="355"/>
      <c r="AG102" s="355"/>
      <c r="AH102" s="355"/>
      <c r="AI102" s="355"/>
      <c r="AJ102" s="219"/>
      <c r="AK102" s="219"/>
      <c r="AL102" s="219"/>
      <c r="AM102" s="399"/>
      <c r="AN102" s="399"/>
      <c r="AO102" s="399"/>
      <c r="AP102" s="399"/>
    </row>
    <row r="103" spans="1:42" hidden="1" x14ac:dyDescent="0.25">
      <c r="A103" s="60"/>
      <c r="B103" s="21"/>
      <c r="C103" s="143"/>
      <c r="D103" s="2"/>
      <c r="E103" s="69"/>
      <c r="F103" s="185"/>
      <c r="G103" s="144"/>
      <c r="H103" s="3"/>
      <c r="I103" s="3"/>
      <c r="J103" s="145"/>
      <c r="K103" s="7"/>
      <c r="L103" s="25"/>
      <c r="M103" s="357"/>
      <c r="N103" s="357"/>
      <c r="O103" s="355"/>
      <c r="P103" s="355"/>
      <c r="Q103" s="355"/>
      <c r="R103" s="355"/>
      <c r="S103" s="355"/>
      <c r="T103" s="355"/>
      <c r="U103" s="355"/>
      <c r="V103" s="355"/>
      <c r="W103" s="355"/>
      <c r="X103" s="355"/>
      <c r="Y103" s="355"/>
      <c r="Z103" s="355"/>
      <c r="AA103" s="355"/>
      <c r="AB103" s="355"/>
      <c r="AC103" s="355"/>
      <c r="AD103" s="355"/>
      <c r="AE103" s="355"/>
      <c r="AF103" s="355"/>
      <c r="AG103" s="355"/>
      <c r="AH103" s="355"/>
      <c r="AI103" s="355"/>
      <c r="AJ103" s="219"/>
      <c r="AK103" s="219"/>
      <c r="AL103" s="219"/>
      <c r="AM103" s="399"/>
      <c r="AN103" s="399"/>
      <c r="AO103" s="399"/>
      <c r="AP103" s="399"/>
    </row>
    <row r="104" spans="1:42" ht="28.5" x14ac:dyDescent="0.25">
      <c r="A104" s="109" t="s">
        <v>423</v>
      </c>
      <c r="B104" s="109"/>
      <c r="C104" s="109"/>
      <c r="D104" s="109"/>
      <c r="E104" s="109"/>
      <c r="F104" s="109"/>
      <c r="G104" s="109"/>
      <c r="H104" s="109"/>
      <c r="I104" s="109"/>
      <c r="J104" s="109"/>
      <c r="K104" s="109"/>
      <c r="L104" s="109"/>
      <c r="M104" s="354"/>
      <c r="N104" s="354"/>
      <c r="O104" s="355"/>
      <c r="P104" s="355"/>
      <c r="Q104" s="355"/>
      <c r="R104" s="355"/>
      <c r="S104" s="355"/>
      <c r="T104" s="355"/>
      <c r="U104" s="355"/>
      <c r="V104" s="355"/>
      <c r="W104" s="355"/>
      <c r="X104" s="355"/>
      <c r="Y104" s="355"/>
      <c r="Z104" s="355"/>
      <c r="AA104" s="355"/>
      <c r="AB104" s="355"/>
      <c r="AC104" s="355"/>
      <c r="AD104" s="355"/>
      <c r="AE104" s="355"/>
      <c r="AF104" s="355"/>
      <c r="AG104" s="355"/>
      <c r="AH104" s="355"/>
      <c r="AI104" s="355"/>
      <c r="AJ104" s="219"/>
      <c r="AK104" s="219"/>
      <c r="AL104" s="219"/>
      <c r="AM104" s="399"/>
      <c r="AN104" s="399"/>
      <c r="AO104" s="399"/>
      <c r="AP104" s="399"/>
    </row>
    <row r="105" spans="1:42" ht="14.25" customHeight="1" x14ac:dyDescent="0.25">
      <c r="A105" s="163" t="s">
        <v>434</v>
      </c>
      <c r="B105" s="110"/>
      <c r="C105" s="110"/>
      <c r="D105" s="110"/>
      <c r="E105" s="110"/>
      <c r="F105" s="110"/>
      <c r="G105" s="110"/>
      <c r="H105" s="110"/>
      <c r="I105" s="110"/>
      <c r="J105" s="110"/>
      <c r="K105" s="110"/>
      <c r="L105" s="110"/>
      <c r="M105" s="354"/>
      <c r="N105" s="354"/>
      <c r="O105" s="355"/>
      <c r="P105" s="355"/>
      <c r="Q105" s="355"/>
      <c r="R105" s="355"/>
      <c r="S105" s="355"/>
      <c r="T105" s="355"/>
      <c r="U105" s="355"/>
      <c r="V105" s="355"/>
      <c r="W105" s="355"/>
      <c r="X105" s="355"/>
      <c r="Y105" s="355"/>
      <c r="Z105" s="355"/>
      <c r="AA105" s="355"/>
      <c r="AB105" s="355"/>
      <c r="AC105" s="355"/>
      <c r="AD105" s="355"/>
      <c r="AE105" s="355"/>
      <c r="AF105" s="355"/>
      <c r="AG105" s="355"/>
      <c r="AH105" s="355"/>
      <c r="AI105" s="355"/>
      <c r="AJ105" s="219"/>
      <c r="AK105" s="219"/>
      <c r="AL105" s="219"/>
      <c r="AM105" s="399"/>
      <c r="AN105" s="399"/>
      <c r="AO105" s="399"/>
      <c r="AP105" s="399"/>
    </row>
    <row r="106" spans="1:42" x14ac:dyDescent="0.25">
      <c r="A106" s="368" t="s">
        <v>0</v>
      </c>
      <c r="B106" s="369"/>
      <c r="C106" s="374" t="s">
        <v>165</v>
      </c>
      <c r="D106" s="71"/>
      <c r="E106" s="72"/>
      <c r="F106" s="139" t="s">
        <v>385</v>
      </c>
      <c r="G106" s="382" t="s">
        <v>508</v>
      </c>
      <c r="H106" s="103" t="s">
        <v>3</v>
      </c>
      <c r="I106" s="103" t="s">
        <v>4</v>
      </c>
      <c r="J106" s="380" t="s">
        <v>460</v>
      </c>
      <c r="K106" s="380" t="s">
        <v>5</v>
      </c>
      <c r="L106" s="380" t="s">
        <v>6</v>
      </c>
      <c r="M106" s="361" t="s">
        <v>2</v>
      </c>
      <c r="N106" s="361"/>
      <c r="O106" s="355"/>
      <c r="P106" s="355"/>
      <c r="Q106" s="355"/>
      <c r="R106" s="355"/>
      <c r="S106" s="355"/>
      <c r="T106" s="355"/>
      <c r="U106" s="355"/>
      <c r="V106" s="355"/>
      <c r="W106" s="355"/>
      <c r="X106" s="355"/>
      <c r="Y106" s="355"/>
      <c r="Z106" s="355"/>
      <c r="AA106" s="355"/>
      <c r="AB106" s="355"/>
      <c r="AC106" s="355"/>
      <c r="AD106" s="355"/>
      <c r="AE106" s="355"/>
      <c r="AF106" s="355"/>
      <c r="AG106" s="355"/>
      <c r="AH106" s="355"/>
      <c r="AI106" s="355"/>
      <c r="AJ106" s="219"/>
      <c r="AK106" s="219"/>
      <c r="AL106" s="219"/>
      <c r="AM106" s="399"/>
      <c r="AN106" s="399"/>
      <c r="AO106" s="399"/>
      <c r="AP106" s="399"/>
    </row>
    <row r="107" spans="1:42" x14ac:dyDescent="0.25">
      <c r="A107" s="370"/>
      <c r="B107" s="371"/>
      <c r="C107" s="377"/>
      <c r="D107" s="74"/>
      <c r="E107" s="75"/>
      <c r="F107" s="140" t="s">
        <v>386</v>
      </c>
      <c r="G107" s="383"/>
      <c r="H107" s="104" t="s">
        <v>8</v>
      </c>
      <c r="I107" s="104" t="s">
        <v>9</v>
      </c>
      <c r="J107" s="381"/>
      <c r="K107" s="381"/>
      <c r="L107" s="381"/>
      <c r="M107" s="356" t="s">
        <v>7</v>
      </c>
      <c r="N107" s="357"/>
      <c r="O107" s="355"/>
      <c r="P107" s="355"/>
      <c r="Q107" s="355"/>
      <c r="R107" s="355"/>
      <c r="S107" s="355"/>
      <c r="T107" s="355"/>
      <c r="U107" s="355"/>
      <c r="V107" s="355"/>
      <c r="W107" s="355"/>
      <c r="X107" s="355"/>
      <c r="Y107" s="355"/>
      <c r="Z107" s="355"/>
      <c r="AA107" s="355"/>
      <c r="AB107" s="355"/>
      <c r="AC107" s="355"/>
      <c r="AD107" s="355"/>
      <c r="AE107" s="355"/>
      <c r="AF107" s="355"/>
      <c r="AG107" s="355"/>
      <c r="AH107" s="355"/>
      <c r="AI107" s="355"/>
      <c r="AJ107" s="219"/>
      <c r="AK107" s="219"/>
      <c r="AL107" s="219"/>
      <c r="AM107" s="399"/>
      <c r="AN107" s="399"/>
      <c r="AO107" s="399"/>
      <c r="AP107" s="399"/>
    </row>
    <row r="108" spans="1:42" hidden="1" x14ac:dyDescent="0.25">
      <c r="A108" s="330"/>
      <c r="B108" s="48" t="s">
        <v>1</v>
      </c>
      <c r="C108" s="134" t="s">
        <v>424</v>
      </c>
      <c r="D108" s="147"/>
      <c r="E108" s="164" t="s">
        <v>429</v>
      </c>
      <c r="F108" s="180" t="s">
        <v>439</v>
      </c>
      <c r="G108" s="176">
        <v>8719743710238</v>
      </c>
      <c r="H108" s="13">
        <v>1</v>
      </c>
      <c r="I108" s="13">
        <v>1</v>
      </c>
      <c r="J108" s="49" t="s">
        <v>428</v>
      </c>
      <c r="K108" s="40" t="s">
        <v>13</v>
      </c>
      <c r="L108" s="200"/>
      <c r="M108" s="356" t="s">
        <v>30</v>
      </c>
      <c r="N108" s="355" t="s">
        <v>797</v>
      </c>
      <c r="O108" s="355"/>
      <c r="P108" s="355">
        <v>7.0999999999999994E-2</v>
      </c>
      <c r="Q108" s="355"/>
      <c r="R108" s="355">
        <v>30</v>
      </c>
      <c r="S108" s="355" t="s">
        <v>572</v>
      </c>
      <c r="T108" s="355" t="s">
        <v>562</v>
      </c>
      <c r="U108" s="355">
        <f t="shared" ref="U108:U113" si="24">A108</f>
        <v>0</v>
      </c>
      <c r="V108" s="355"/>
      <c r="W108" s="360" t="str">
        <f>IF(U108=0,"",COUNTIF(W$27:W107,"&gt;0")+1)</f>
        <v/>
      </c>
      <c r="X108" s="360" t="str">
        <f>IF(U108=0,"",COUNTIF(X$27:X107,"&gt;0")+1)</f>
        <v/>
      </c>
      <c r="Y108" s="355"/>
      <c r="Z108" s="355"/>
      <c r="AA108" s="355"/>
      <c r="AB108" s="355"/>
      <c r="AC108" s="355"/>
      <c r="AD108" s="355"/>
      <c r="AE108" s="355"/>
      <c r="AF108" s="355"/>
      <c r="AG108" s="355"/>
      <c r="AH108" s="355"/>
      <c r="AI108" s="355"/>
      <c r="AJ108" s="219"/>
      <c r="AK108" s="219"/>
      <c r="AL108" s="219"/>
      <c r="AM108" s="399"/>
      <c r="AN108" s="399"/>
      <c r="AO108" s="399"/>
      <c r="AP108" s="399"/>
    </row>
    <row r="109" spans="1:42" x14ac:dyDescent="0.25">
      <c r="A109" s="330"/>
      <c r="B109" s="48" t="s">
        <v>1</v>
      </c>
      <c r="C109" s="134" t="s">
        <v>425</v>
      </c>
      <c r="D109" s="149"/>
      <c r="E109" s="165" t="s">
        <v>430</v>
      </c>
      <c r="F109" s="180" t="s">
        <v>439</v>
      </c>
      <c r="G109" s="176">
        <v>8719743710221</v>
      </c>
      <c r="H109" s="18">
        <v>2</v>
      </c>
      <c r="I109" s="19">
        <v>3</v>
      </c>
      <c r="J109" s="49" t="s">
        <v>428</v>
      </c>
      <c r="K109" s="40">
        <v>1</v>
      </c>
      <c r="L109" s="200"/>
      <c r="M109" s="357" t="s">
        <v>19</v>
      </c>
      <c r="N109" s="355" t="s">
        <v>798</v>
      </c>
      <c r="O109" s="355">
        <v>145</v>
      </c>
      <c r="P109" s="355">
        <v>7.0999999999999994E-2</v>
      </c>
      <c r="Q109" s="355"/>
      <c r="R109" s="355">
        <v>30</v>
      </c>
      <c r="S109" s="355" t="s">
        <v>572</v>
      </c>
      <c r="T109" s="355" t="s">
        <v>562</v>
      </c>
      <c r="U109" s="355">
        <f t="shared" si="24"/>
        <v>0</v>
      </c>
      <c r="V109" s="355"/>
      <c r="W109" s="360" t="str">
        <f>IF(U109=0,"",COUNTIF(W$27:W108,"&gt;0")+1)</f>
        <v/>
      </c>
      <c r="X109" s="360" t="str">
        <f>IF(U109=0,"",COUNTIF(X$27:X108,"&gt;0")+1)</f>
        <v/>
      </c>
      <c r="Y109" s="355"/>
      <c r="Z109" s="355"/>
      <c r="AA109" s="355"/>
      <c r="AB109" s="355"/>
      <c r="AC109" s="355"/>
      <c r="AD109" s="355"/>
      <c r="AE109" s="355"/>
      <c r="AF109" s="355"/>
      <c r="AG109" s="355"/>
      <c r="AH109" s="355"/>
      <c r="AI109" s="355"/>
      <c r="AJ109" s="219"/>
      <c r="AK109" s="219"/>
      <c r="AL109" s="219"/>
      <c r="AM109" s="399"/>
      <c r="AN109" s="399"/>
      <c r="AO109" s="399"/>
      <c r="AP109" s="399"/>
    </row>
    <row r="110" spans="1:42" hidden="1" x14ac:dyDescent="0.25">
      <c r="A110" s="330"/>
      <c r="B110" s="48" t="s">
        <v>1</v>
      </c>
      <c r="C110" s="134" t="s">
        <v>426</v>
      </c>
      <c r="D110" s="149"/>
      <c r="E110" s="166" t="s">
        <v>432</v>
      </c>
      <c r="F110" s="180" t="s">
        <v>439</v>
      </c>
      <c r="G110" s="176">
        <v>8719743710245</v>
      </c>
      <c r="H110" s="18">
        <v>2</v>
      </c>
      <c r="I110" s="13">
        <v>1</v>
      </c>
      <c r="J110" s="49" t="s">
        <v>428</v>
      </c>
      <c r="K110" s="40" t="s">
        <v>18</v>
      </c>
      <c r="L110" s="200"/>
      <c r="M110" s="356" t="s">
        <v>30</v>
      </c>
      <c r="N110" s="355" t="s">
        <v>799</v>
      </c>
      <c r="O110" s="355"/>
      <c r="P110" s="355">
        <v>7.0999999999999994E-2</v>
      </c>
      <c r="Q110" s="355"/>
      <c r="R110" s="355">
        <v>30</v>
      </c>
      <c r="S110" s="355" t="s">
        <v>572</v>
      </c>
      <c r="T110" s="355" t="s">
        <v>562</v>
      </c>
      <c r="U110" s="355">
        <f t="shared" si="24"/>
        <v>0</v>
      </c>
      <c r="V110" s="355"/>
      <c r="W110" s="360" t="str">
        <f>IF(U110=0,"",COUNTIF(W$27:W109,"&gt;0")+1)</f>
        <v/>
      </c>
      <c r="X110" s="360" t="str">
        <f>IF(U110=0,"",COUNTIF(X$27:X109,"&gt;0")+1)</f>
        <v/>
      </c>
      <c r="Y110" s="355"/>
      <c r="Z110" s="355"/>
      <c r="AA110" s="355"/>
      <c r="AB110" s="355"/>
      <c r="AC110" s="355"/>
      <c r="AD110" s="355"/>
      <c r="AE110" s="355"/>
      <c r="AF110" s="355"/>
      <c r="AG110" s="355"/>
      <c r="AH110" s="355"/>
      <c r="AI110" s="355"/>
      <c r="AJ110" s="219"/>
      <c r="AK110" s="219"/>
      <c r="AL110" s="219"/>
      <c r="AM110" s="399"/>
      <c r="AN110" s="399"/>
      <c r="AO110" s="399"/>
      <c r="AP110" s="399"/>
    </row>
    <row r="111" spans="1:42" x14ac:dyDescent="0.25">
      <c r="A111" s="330"/>
      <c r="B111" s="48" t="s">
        <v>1</v>
      </c>
      <c r="C111" s="134" t="s">
        <v>6</v>
      </c>
      <c r="D111" s="79"/>
      <c r="E111" s="167" t="s">
        <v>433</v>
      </c>
      <c r="F111" s="180" t="s">
        <v>439</v>
      </c>
      <c r="G111" s="176">
        <v>8719743710740</v>
      </c>
      <c r="H111" s="18">
        <v>2</v>
      </c>
      <c r="I111" s="18">
        <v>2</v>
      </c>
      <c r="J111" s="49" t="s">
        <v>428</v>
      </c>
      <c r="K111" s="5" t="s">
        <v>18</v>
      </c>
      <c r="L111" s="200" t="s">
        <v>23</v>
      </c>
      <c r="M111" s="357" t="s">
        <v>19</v>
      </c>
      <c r="N111" s="355" t="s">
        <v>800</v>
      </c>
      <c r="O111" s="355">
        <v>146</v>
      </c>
      <c r="P111" s="355">
        <v>7.0999999999999994E-2</v>
      </c>
      <c r="Q111" s="355"/>
      <c r="R111" s="355">
        <v>30</v>
      </c>
      <c r="S111" s="355" t="s">
        <v>572</v>
      </c>
      <c r="T111" s="355" t="s">
        <v>562</v>
      </c>
      <c r="U111" s="355">
        <f t="shared" si="24"/>
        <v>0</v>
      </c>
      <c r="V111" s="355"/>
      <c r="W111" s="360" t="str">
        <f>IF(U111=0,"",COUNTIF(W$27:W110,"&gt;0")+1)</f>
        <v/>
      </c>
      <c r="X111" s="360" t="str">
        <f>IF(U111=0,"",COUNTIF(X$27:X110,"&gt;0")+1)</f>
        <v/>
      </c>
      <c r="Y111" s="355"/>
      <c r="Z111" s="355"/>
      <c r="AA111" s="355"/>
      <c r="AB111" s="355"/>
      <c r="AC111" s="355"/>
      <c r="AD111" s="355"/>
      <c r="AE111" s="355"/>
      <c r="AF111" s="355"/>
      <c r="AG111" s="355"/>
      <c r="AH111" s="355"/>
      <c r="AI111" s="355"/>
      <c r="AJ111" s="219"/>
      <c r="AK111" s="219"/>
      <c r="AL111" s="219"/>
      <c r="AM111" s="399"/>
      <c r="AN111" s="399"/>
      <c r="AO111" s="399"/>
      <c r="AP111" s="399"/>
    </row>
    <row r="112" spans="1:42" x14ac:dyDescent="0.25">
      <c r="A112" s="330"/>
      <c r="B112" s="48" t="s">
        <v>1</v>
      </c>
      <c r="C112" s="134" t="s">
        <v>427</v>
      </c>
      <c r="D112" s="82"/>
      <c r="E112" s="167" t="s">
        <v>431</v>
      </c>
      <c r="F112" s="180" t="s">
        <v>439</v>
      </c>
      <c r="G112" s="176">
        <v>8719743710214</v>
      </c>
      <c r="H112" s="18">
        <v>2</v>
      </c>
      <c r="I112" s="18">
        <v>2</v>
      </c>
      <c r="J112" s="49" t="s">
        <v>428</v>
      </c>
      <c r="K112" s="5" t="s">
        <v>26</v>
      </c>
      <c r="L112" s="200"/>
      <c r="M112" s="357" t="s">
        <v>19</v>
      </c>
      <c r="N112" s="355" t="s">
        <v>801</v>
      </c>
      <c r="O112" s="355">
        <v>147</v>
      </c>
      <c r="P112" s="355">
        <v>7.0999999999999994E-2</v>
      </c>
      <c r="Q112" s="355"/>
      <c r="R112" s="355">
        <v>30</v>
      </c>
      <c r="S112" s="355" t="s">
        <v>572</v>
      </c>
      <c r="T112" s="355" t="s">
        <v>562</v>
      </c>
      <c r="U112" s="355">
        <f t="shared" si="24"/>
        <v>0</v>
      </c>
      <c r="V112" s="355"/>
      <c r="W112" s="360" t="str">
        <f>IF(U112=0,"",COUNTIF(W$27:W111,"&gt;0")+1)</f>
        <v/>
      </c>
      <c r="X112" s="360" t="str">
        <f>IF(U112=0,"",COUNTIF(X$27:X111,"&gt;0")+1)</f>
        <v/>
      </c>
      <c r="Y112" s="355"/>
      <c r="Z112" s="355"/>
      <c r="AA112" s="355"/>
      <c r="AB112" s="355"/>
      <c r="AC112" s="355"/>
      <c r="AD112" s="355"/>
      <c r="AE112" s="355"/>
      <c r="AF112" s="355"/>
      <c r="AG112" s="355"/>
      <c r="AH112" s="355"/>
      <c r="AI112" s="355"/>
      <c r="AJ112" s="219"/>
      <c r="AK112" s="219"/>
      <c r="AL112" s="219"/>
      <c r="AM112" s="399"/>
      <c r="AN112" s="399"/>
      <c r="AO112" s="399"/>
      <c r="AP112" s="399"/>
    </row>
    <row r="113" spans="1:42" x14ac:dyDescent="0.25">
      <c r="A113" s="59">
        <f>SUM(A108:A112)</f>
        <v>0</v>
      </c>
      <c r="B113" s="48" t="s">
        <v>1</v>
      </c>
      <c r="C113" s="256" t="s">
        <v>571</v>
      </c>
      <c r="D113" s="257"/>
      <c r="E113" s="258"/>
      <c r="F113" s="185"/>
      <c r="G113" s="213"/>
      <c r="H113" s="3"/>
      <c r="I113" s="3"/>
      <c r="J113" s="324"/>
      <c r="K113" s="7"/>
      <c r="L113" s="25"/>
      <c r="M113" s="357"/>
      <c r="N113" s="357"/>
      <c r="O113" s="355"/>
      <c r="P113" s="355"/>
      <c r="Q113" s="355"/>
      <c r="R113" s="355"/>
      <c r="S113" s="355" t="s">
        <v>572</v>
      </c>
      <c r="T113" s="355"/>
      <c r="U113" s="355">
        <f t="shared" si="24"/>
        <v>0</v>
      </c>
      <c r="V113" s="355"/>
      <c r="W113" s="360" t="str">
        <f>IF(U113=0,"",COUNTIF(W$27:W112,"&gt;0")+1)</f>
        <v/>
      </c>
      <c r="X113" s="355"/>
      <c r="Y113" s="355"/>
      <c r="Z113" s="355"/>
      <c r="AA113" s="355"/>
      <c r="AB113" s="355"/>
      <c r="AC113" s="355"/>
      <c r="AD113" s="355"/>
      <c r="AE113" s="355"/>
      <c r="AF113" s="355"/>
      <c r="AG113" s="355"/>
      <c r="AH113" s="355"/>
      <c r="AI113" s="355"/>
      <c r="AJ113" s="219"/>
      <c r="AK113" s="219"/>
      <c r="AL113" s="219"/>
      <c r="AM113" s="399"/>
      <c r="AN113" s="399"/>
      <c r="AO113" s="399"/>
      <c r="AP113" s="399"/>
    </row>
    <row r="114" spans="1:42" ht="13.5" customHeight="1" x14ac:dyDescent="0.25">
      <c r="A114" s="60"/>
      <c r="B114" s="21"/>
      <c r="C114" s="143"/>
      <c r="D114" s="2"/>
      <c r="E114" s="69"/>
      <c r="F114" s="185"/>
      <c r="G114" s="144"/>
      <c r="H114" s="3"/>
      <c r="I114" s="3"/>
      <c r="J114" s="145"/>
      <c r="K114" s="7"/>
      <c r="L114" s="25"/>
      <c r="M114" s="357"/>
      <c r="N114" s="357"/>
      <c r="O114" s="355"/>
      <c r="P114" s="355"/>
      <c r="Q114" s="355"/>
      <c r="R114" s="355"/>
      <c r="S114" s="355"/>
      <c r="T114" s="355"/>
      <c r="U114" s="355"/>
      <c r="V114" s="355"/>
      <c r="W114" s="355"/>
      <c r="X114" s="355"/>
      <c r="Y114" s="355"/>
      <c r="Z114" s="355"/>
      <c r="AA114" s="355"/>
      <c r="AB114" s="355"/>
      <c r="AC114" s="355"/>
      <c r="AD114" s="355"/>
      <c r="AE114" s="355"/>
      <c r="AF114" s="355"/>
      <c r="AG114" s="355"/>
      <c r="AH114" s="355"/>
      <c r="AI114" s="355">
        <f>ROUNDDOWN((U118-1)/(AH115+AH116),0)</f>
        <v>0</v>
      </c>
      <c r="AJ114" s="219"/>
      <c r="AK114" s="219"/>
      <c r="AL114" s="219"/>
      <c r="AM114" s="399"/>
      <c r="AN114" s="399"/>
      <c r="AO114" s="399"/>
      <c r="AP114" s="399"/>
    </row>
    <row r="115" spans="1:42" ht="26.25" hidden="1" customHeight="1" x14ac:dyDescent="0.45">
      <c r="A115" s="210" t="s">
        <v>414</v>
      </c>
      <c r="B115" s="210"/>
      <c r="C115" s="210"/>
      <c r="D115" s="210"/>
      <c r="E115" s="210"/>
      <c r="F115" s="210"/>
      <c r="G115" s="210"/>
      <c r="H115" s="210"/>
      <c r="I115" s="210"/>
      <c r="J115" s="210"/>
      <c r="K115" s="210"/>
      <c r="L115" s="210"/>
      <c r="M115" s="355"/>
      <c r="N115" s="355"/>
      <c r="O115" s="355"/>
      <c r="P115" s="355"/>
      <c r="Q115" s="355"/>
      <c r="R115" s="355"/>
      <c r="S115" s="355"/>
      <c r="T115" s="355"/>
      <c r="U115" s="355"/>
      <c r="V115" s="355"/>
      <c r="W115" s="355"/>
      <c r="X115" s="355"/>
      <c r="Y115" s="355"/>
      <c r="Z115" s="355"/>
      <c r="AA115" s="355"/>
      <c r="AB115" s="355"/>
      <c r="AC115" s="355"/>
      <c r="AD115" s="355"/>
      <c r="AE115" s="355"/>
      <c r="AF115" s="355"/>
      <c r="AG115" s="355"/>
      <c r="AH115" s="355">
        <f>COUNT(AF121:AF185)</f>
        <v>17</v>
      </c>
      <c r="AI115" s="355">
        <f>ROUNDDOWN((U119-1)/AH115,0)</f>
        <v>0</v>
      </c>
      <c r="AJ115" s="219"/>
      <c r="AK115" s="219"/>
      <c r="AL115" s="219"/>
      <c r="AM115" s="399"/>
      <c r="AN115" s="399"/>
      <c r="AO115" s="399"/>
      <c r="AP115" s="399"/>
    </row>
    <row r="116" spans="1:42" hidden="1" x14ac:dyDescent="0.25">
      <c r="A116" s="368" t="s">
        <v>0</v>
      </c>
      <c r="B116" s="369"/>
      <c r="C116" s="368" t="s">
        <v>165</v>
      </c>
      <c r="D116" s="71"/>
      <c r="E116" s="72"/>
      <c r="F116" s="139" t="s">
        <v>385</v>
      </c>
      <c r="G116" s="382" t="s">
        <v>508</v>
      </c>
      <c r="H116" s="103" t="s">
        <v>3</v>
      </c>
      <c r="I116" s="103" t="s">
        <v>4</v>
      </c>
      <c r="J116" s="380" t="s">
        <v>494</v>
      </c>
      <c r="K116" s="380" t="s">
        <v>5</v>
      </c>
      <c r="L116" s="380" t="s">
        <v>6</v>
      </c>
      <c r="M116" s="356" t="s">
        <v>2</v>
      </c>
      <c r="N116" s="357"/>
      <c r="O116" s="355"/>
      <c r="P116" s="355"/>
      <c r="Q116" s="355"/>
      <c r="R116" s="355"/>
      <c r="S116" s="355"/>
      <c r="T116" s="355"/>
      <c r="U116" s="355"/>
      <c r="V116" s="355"/>
      <c r="W116" s="355"/>
      <c r="X116" s="355"/>
      <c r="Y116" s="355"/>
      <c r="Z116" s="386" t="s">
        <v>594</v>
      </c>
      <c r="AA116" s="386"/>
      <c r="AB116" s="386"/>
      <c r="AC116" s="355"/>
      <c r="AD116" s="355"/>
      <c r="AE116" s="355"/>
      <c r="AF116" s="355"/>
      <c r="AG116" s="355"/>
      <c r="AH116" s="355">
        <f>COUNT(AG121:AG185)</f>
        <v>0</v>
      </c>
      <c r="AI116" s="355" t="e">
        <f>ROUNDDOWN((U120-1)/AH116,0)</f>
        <v>#DIV/0!</v>
      </c>
      <c r="AJ116" s="219"/>
      <c r="AK116" s="219"/>
      <c r="AL116" s="219"/>
      <c r="AM116" s="399"/>
      <c r="AN116" s="399"/>
      <c r="AO116" s="399"/>
      <c r="AP116" s="399"/>
    </row>
    <row r="117" spans="1:42" hidden="1" x14ac:dyDescent="0.25">
      <c r="A117" s="370"/>
      <c r="B117" s="371"/>
      <c r="C117" s="370"/>
      <c r="D117" s="74"/>
      <c r="E117" s="75"/>
      <c r="F117" s="140" t="s">
        <v>386</v>
      </c>
      <c r="G117" s="383"/>
      <c r="H117" s="104" t="s">
        <v>8</v>
      </c>
      <c r="I117" s="104" t="s">
        <v>9</v>
      </c>
      <c r="J117" s="381"/>
      <c r="K117" s="381"/>
      <c r="L117" s="381"/>
      <c r="M117" s="356" t="s">
        <v>7</v>
      </c>
      <c r="N117" s="357"/>
      <c r="O117" s="355"/>
      <c r="P117" s="355"/>
      <c r="Q117" s="355"/>
      <c r="R117" s="355"/>
      <c r="S117" s="355"/>
      <c r="T117" s="355"/>
      <c r="U117" s="355"/>
      <c r="V117" s="355"/>
      <c r="W117" s="355"/>
      <c r="X117" s="355"/>
      <c r="Y117" s="355"/>
      <c r="Z117" s="355" t="s">
        <v>595</v>
      </c>
      <c r="AA117" s="355" t="s">
        <v>957</v>
      </c>
      <c r="AB117" s="355" t="s">
        <v>958</v>
      </c>
      <c r="AC117" s="355" t="s">
        <v>598</v>
      </c>
      <c r="AD117" s="355" t="s">
        <v>599</v>
      </c>
      <c r="AE117" s="355" t="s">
        <v>600</v>
      </c>
      <c r="AF117" s="355" t="s">
        <v>957</v>
      </c>
      <c r="AG117" s="355" t="s">
        <v>958</v>
      </c>
      <c r="AH117" s="355" t="s">
        <v>603</v>
      </c>
      <c r="AI117" s="355"/>
      <c r="AJ117" s="219"/>
      <c r="AK117" s="219"/>
      <c r="AL117" s="219"/>
      <c r="AM117" s="399"/>
      <c r="AN117" s="399"/>
      <c r="AO117" s="399"/>
      <c r="AP117" s="399"/>
    </row>
    <row r="118" spans="1:42" hidden="1" x14ac:dyDescent="0.25">
      <c r="A118" s="330"/>
      <c r="B118" s="48" t="s">
        <v>168</v>
      </c>
      <c r="C118" s="53" t="s">
        <v>575</v>
      </c>
      <c r="D118" s="77"/>
      <c r="E118" s="48"/>
      <c r="F118" s="106"/>
      <c r="G118" s="106"/>
      <c r="H118" s="41"/>
      <c r="I118" s="41"/>
      <c r="J118" s="49" t="s">
        <v>12</v>
      </c>
      <c r="K118" s="42" t="s">
        <v>13</v>
      </c>
      <c r="L118" s="39"/>
      <c r="M118" s="358"/>
      <c r="N118" s="355"/>
      <c r="O118" s="355"/>
      <c r="P118" s="355"/>
      <c r="Q118" s="355"/>
      <c r="R118" s="355"/>
      <c r="S118" s="355"/>
      <c r="T118" s="355"/>
      <c r="U118" s="355">
        <f t="shared" ref="U118:U120" si="25">A118</f>
        <v>0</v>
      </c>
      <c r="V118" s="355"/>
      <c r="W118" s="355"/>
      <c r="X118" s="355"/>
      <c r="Y118" s="355"/>
      <c r="Z118" s="355"/>
      <c r="AA118" s="355"/>
      <c r="AB118" s="355"/>
      <c r="AC118" s="355"/>
      <c r="AD118" s="355"/>
      <c r="AE118" s="355"/>
      <c r="AF118" s="355"/>
      <c r="AG118" s="355"/>
      <c r="AH118" s="355"/>
      <c r="AI118" s="355"/>
      <c r="AJ118" s="219"/>
      <c r="AK118" s="219"/>
      <c r="AL118" s="219"/>
      <c r="AM118" s="399"/>
      <c r="AN118" s="399"/>
      <c r="AO118" s="399"/>
      <c r="AP118" s="399"/>
    </row>
    <row r="119" spans="1:42" hidden="1" x14ac:dyDescent="0.25">
      <c r="A119" s="330"/>
      <c r="B119" s="48" t="s">
        <v>168</v>
      </c>
      <c r="C119" s="53" t="s">
        <v>573</v>
      </c>
      <c r="D119" s="77"/>
      <c r="E119" s="48"/>
      <c r="F119" s="180" t="s">
        <v>399</v>
      </c>
      <c r="G119" s="48"/>
      <c r="H119" s="39"/>
      <c r="I119" s="39"/>
      <c r="J119" s="50"/>
      <c r="K119" s="42" t="s">
        <v>13</v>
      </c>
      <c r="L119" s="39"/>
      <c r="M119" s="358"/>
      <c r="N119" s="355"/>
      <c r="O119" s="355"/>
      <c r="P119" s="355"/>
      <c r="Q119" s="355"/>
      <c r="R119" s="355"/>
      <c r="S119" s="355"/>
      <c r="T119" s="355"/>
      <c r="U119" s="355">
        <f t="shared" si="25"/>
        <v>0</v>
      </c>
      <c r="V119" s="355"/>
      <c r="W119" s="355"/>
      <c r="X119" s="355"/>
      <c r="Y119" s="355"/>
      <c r="Z119" s="355"/>
      <c r="AA119" s="355"/>
      <c r="AB119" s="355"/>
      <c r="AC119" s="355"/>
      <c r="AD119" s="355"/>
      <c r="AE119" s="355"/>
      <c r="AF119" s="355"/>
      <c r="AG119" s="355"/>
      <c r="AH119" s="355"/>
      <c r="AI119" s="355"/>
      <c r="AJ119" s="219"/>
      <c r="AK119" s="219"/>
      <c r="AL119" s="219"/>
      <c r="AM119" s="399"/>
      <c r="AN119" s="399"/>
      <c r="AO119" s="399"/>
      <c r="AP119" s="399"/>
    </row>
    <row r="120" spans="1:42" hidden="1" x14ac:dyDescent="0.25">
      <c r="A120" s="330"/>
      <c r="B120" s="48" t="s">
        <v>168</v>
      </c>
      <c r="C120" s="53" t="s">
        <v>574</v>
      </c>
      <c r="D120" s="77"/>
      <c r="E120" s="48"/>
      <c r="F120" s="186" t="s">
        <v>400</v>
      </c>
      <c r="G120" s="175"/>
      <c r="H120" s="39"/>
      <c r="I120" s="39"/>
      <c r="J120" s="50"/>
      <c r="K120" s="42" t="s">
        <v>13</v>
      </c>
      <c r="L120" s="39"/>
      <c r="M120" s="358"/>
      <c r="N120" s="355"/>
      <c r="O120" s="355"/>
      <c r="P120" s="355"/>
      <c r="Q120" s="355"/>
      <c r="R120" s="355"/>
      <c r="S120" s="355"/>
      <c r="T120" s="355"/>
      <c r="U120" s="355">
        <f t="shared" si="25"/>
        <v>0</v>
      </c>
      <c r="V120" s="355"/>
      <c r="W120" s="355"/>
      <c r="X120" s="355"/>
      <c r="Y120" s="355"/>
      <c r="Z120" s="355"/>
      <c r="AA120" s="355"/>
      <c r="AB120" s="355"/>
      <c r="AC120" s="355"/>
      <c r="AD120" s="355"/>
      <c r="AE120" s="355"/>
      <c r="AF120" s="355"/>
      <c r="AG120" s="355"/>
      <c r="AH120" s="355"/>
      <c r="AI120" s="355"/>
      <c r="AJ120" s="219"/>
      <c r="AK120" s="219"/>
      <c r="AL120" s="219"/>
      <c r="AM120" s="399"/>
      <c r="AN120" s="399"/>
      <c r="AO120" s="399"/>
      <c r="AP120" s="399"/>
    </row>
    <row r="121" spans="1:42" hidden="1" x14ac:dyDescent="0.25">
      <c r="A121" s="330"/>
      <c r="B121" s="48" t="s">
        <v>168</v>
      </c>
      <c r="C121" s="78" t="s">
        <v>20</v>
      </c>
      <c r="D121" s="79"/>
      <c r="E121" s="80" t="s">
        <v>21</v>
      </c>
      <c r="F121" s="180" t="s">
        <v>399</v>
      </c>
      <c r="G121" s="176">
        <v>8712044889122</v>
      </c>
      <c r="H121" s="18">
        <v>2</v>
      </c>
      <c r="I121" s="18">
        <v>2</v>
      </c>
      <c r="J121" s="15" t="s">
        <v>22</v>
      </c>
      <c r="K121" s="5" t="s">
        <v>18</v>
      </c>
      <c r="L121" s="200"/>
      <c r="M121" s="356" t="s">
        <v>30</v>
      </c>
      <c r="N121" s="355" t="s">
        <v>802</v>
      </c>
      <c r="O121" s="355"/>
      <c r="P121" s="355">
        <v>0.14199999999999999</v>
      </c>
      <c r="Q121" s="355"/>
      <c r="R121" s="355">
        <v>35</v>
      </c>
      <c r="S121" s="355" t="s">
        <v>576</v>
      </c>
      <c r="T121" s="355" t="s">
        <v>612</v>
      </c>
      <c r="U121" s="355">
        <f>A121+AH121</f>
        <v>0</v>
      </c>
      <c r="V121" s="355"/>
      <c r="W121" s="360" t="str">
        <f>IF(U121=0,"",COUNTIF(W$27:W120,"&gt;0")+1)</f>
        <v/>
      </c>
      <c r="X121" s="360" t="str">
        <f>IF(U121=0,"",COUNTIF(X$27:X120,"&gt;0")+1)</f>
        <v/>
      </c>
      <c r="Y121" s="355"/>
      <c r="Z121" s="359" t="str">
        <f>IF(AD121&lt;&gt;"YES",H121*1.5+I121+AC121,"")</f>
        <v/>
      </c>
      <c r="AA121" s="359" t="str">
        <f>IF(F121="I",Z121,"")</f>
        <v/>
      </c>
      <c r="AB121" s="359" t="str">
        <f>IF(F121="J",Z121,"")</f>
        <v/>
      </c>
      <c r="AC121" s="355">
        <v>1E-3</v>
      </c>
      <c r="AD121" s="355" t="str">
        <f>IF(M121="N","YES","")</f>
        <v>YES</v>
      </c>
      <c r="AE121" s="355" t="str">
        <f>IFERROR(RANK(Z121,Z$121:Z$194,1),"")</f>
        <v/>
      </c>
      <c r="AF121" s="355" t="str">
        <f>IFERROR(RANK(AA121,AA$121:AA$194,1),"")</f>
        <v/>
      </c>
      <c r="AG121" s="355" t="str">
        <f>IFERROR(RANK(AB121,AB$121:AB$194,1),"")</f>
        <v/>
      </c>
      <c r="AH121" s="355">
        <f>IF(AND(U$118&lt;&gt;"",AE121&lt;&gt;""),IF(AE121&lt;=U$118-(AH$115+AH$116)*AI$114,1+AI$114,AI$114),0)+IF(AND(U$119&lt;&gt;"",AF121&lt;&gt;""),IF(AF121&lt;=U$119-AH$115*AI$115,1+AI$115,AI$115),0)+IF(AND(U$120&lt;&gt;"",AG121&lt;&gt;""),IF(AG121&lt;=U$120-AH$116*AI$116,1+AI$116,AI$116),0)</f>
        <v>0</v>
      </c>
      <c r="AI121" s="355"/>
      <c r="AJ121" s="219"/>
      <c r="AK121" s="219"/>
      <c r="AL121" s="219"/>
      <c r="AM121" s="399"/>
      <c r="AN121" s="399"/>
      <c r="AO121" s="399"/>
      <c r="AP121" s="399"/>
    </row>
    <row r="122" spans="1:42" hidden="1" x14ac:dyDescent="0.25">
      <c r="A122" s="336"/>
      <c r="B122" s="106" t="s">
        <v>168</v>
      </c>
      <c r="C122" s="120" t="s">
        <v>533</v>
      </c>
      <c r="D122" s="82"/>
      <c r="E122" s="121" t="s">
        <v>170</v>
      </c>
      <c r="F122" s="186" t="s">
        <v>400</v>
      </c>
      <c r="G122" s="176">
        <v>8712044889917</v>
      </c>
      <c r="H122" s="18">
        <v>2</v>
      </c>
      <c r="I122" s="13">
        <v>1</v>
      </c>
      <c r="J122" s="122" t="s">
        <v>171</v>
      </c>
      <c r="K122" s="119" t="s">
        <v>13</v>
      </c>
      <c r="L122" s="200"/>
      <c r="M122" s="356" t="s">
        <v>30</v>
      </c>
      <c r="N122" s="355" t="s">
        <v>803</v>
      </c>
      <c r="O122" s="355"/>
      <c r="P122" s="355">
        <v>0.14199999999999999</v>
      </c>
      <c r="Q122" s="355"/>
      <c r="R122" s="355">
        <v>35</v>
      </c>
      <c r="S122" s="355" t="s">
        <v>576</v>
      </c>
      <c r="T122" s="355" t="s">
        <v>612</v>
      </c>
      <c r="U122" s="355">
        <f t="shared" ref="U122:U185" si="26">A122+AH122</f>
        <v>0</v>
      </c>
      <c r="V122" s="355"/>
      <c r="W122" s="360" t="str">
        <f>IF(U122=0,"",COUNTIF(W$27:W121,"&gt;0")+1)</f>
        <v/>
      </c>
      <c r="X122" s="360" t="str">
        <f>IF(U122=0,"",COUNTIF(X$27:X121,"&gt;0")+1)</f>
        <v/>
      </c>
      <c r="Y122" s="355"/>
      <c r="Z122" s="359" t="str">
        <f t="shared" ref="Z122:Z185" si="27">IF(AD122&lt;&gt;"YES",H122*1.5+I122+AC122,"")</f>
        <v/>
      </c>
      <c r="AA122" s="359" t="str">
        <f t="shared" ref="AA122:AA185" si="28">IF(F122="I",Z122,"")</f>
        <v/>
      </c>
      <c r="AB122" s="359" t="str">
        <f t="shared" ref="AB122:AB185" si="29">IF(F122="J",Z122,"")</f>
        <v/>
      </c>
      <c r="AC122" s="355">
        <v>2E-3</v>
      </c>
      <c r="AD122" s="355" t="str">
        <f t="shared" ref="AD122:AD185" si="30">IF(M122="N","YES","")</f>
        <v>YES</v>
      </c>
      <c r="AE122" s="355" t="str">
        <f t="shared" ref="AE122:AE185" si="31">IFERROR(RANK(Z122,Z$121:Z$194,1),"")</f>
        <v/>
      </c>
      <c r="AF122" s="355" t="str">
        <f t="shared" ref="AF122:AF185" si="32">IFERROR(RANK(AA122,AA$121:AA$194,1),"")</f>
        <v/>
      </c>
      <c r="AG122" s="355" t="str">
        <f t="shared" ref="AG122:AG185" si="33">IFERROR(RANK(AB122,AB$121:AB$194,1),"")</f>
        <v/>
      </c>
      <c r="AH122" s="355">
        <f t="shared" ref="AH122:AH185" si="34">IF(AND(U$118&lt;&gt;"",AE122&lt;&gt;""),IF(AE122&lt;=U$118-(AH$115+AH$116)*AI$114,1+AI$114,AI$114),0)+IF(AND(U$119&lt;&gt;"",AF122&lt;&gt;""),IF(AF122&lt;=U$119-AH$115*AI$115,1+AI$115,AI$115),0)+IF(AND(U$120&lt;&gt;"",AG122&lt;&gt;""),IF(AG122&lt;=U$120-AH$116*AI$116,1+AI$116,AI$116),0)</f>
        <v>0</v>
      </c>
      <c r="AI122" s="355"/>
      <c r="AJ122" s="219"/>
      <c r="AK122" s="219"/>
      <c r="AL122" s="219"/>
      <c r="AM122" s="399"/>
      <c r="AN122" s="399"/>
      <c r="AO122" s="399"/>
      <c r="AP122" s="399"/>
    </row>
    <row r="123" spans="1:42" hidden="1" x14ac:dyDescent="0.25">
      <c r="A123" s="330"/>
      <c r="B123" s="48" t="s">
        <v>168</v>
      </c>
      <c r="C123" s="81" t="s">
        <v>24</v>
      </c>
      <c r="D123" s="82"/>
      <c r="E123" s="80" t="s">
        <v>464</v>
      </c>
      <c r="F123" s="180" t="s">
        <v>400</v>
      </c>
      <c r="G123" s="176">
        <v>8712044889924</v>
      </c>
      <c r="H123" s="13">
        <v>1</v>
      </c>
      <c r="I123" s="13">
        <v>1</v>
      </c>
      <c r="J123" s="15" t="s">
        <v>25</v>
      </c>
      <c r="K123" s="5" t="s">
        <v>26</v>
      </c>
      <c r="L123" s="200"/>
      <c r="M123" s="356" t="s">
        <v>30</v>
      </c>
      <c r="N123" s="355" t="s">
        <v>804</v>
      </c>
      <c r="O123" s="355"/>
      <c r="P123" s="355">
        <v>0.14199999999999999</v>
      </c>
      <c r="Q123" s="355"/>
      <c r="R123" s="355">
        <v>35</v>
      </c>
      <c r="S123" s="355" t="s">
        <v>576</v>
      </c>
      <c r="T123" s="355" t="s">
        <v>612</v>
      </c>
      <c r="U123" s="355">
        <f t="shared" si="26"/>
        <v>0</v>
      </c>
      <c r="V123" s="355"/>
      <c r="W123" s="360" t="str">
        <f>IF(U123=0,"",COUNTIF(W$27:W122,"&gt;0")+1)</f>
        <v/>
      </c>
      <c r="X123" s="360" t="str">
        <f>IF(U123=0,"",COUNTIF(X$27:X122,"&gt;0")+1)</f>
        <v/>
      </c>
      <c r="Y123" s="355"/>
      <c r="Z123" s="359" t="str">
        <f t="shared" si="27"/>
        <v/>
      </c>
      <c r="AA123" s="359" t="str">
        <f t="shared" si="28"/>
        <v/>
      </c>
      <c r="AB123" s="359" t="str">
        <f t="shared" si="29"/>
        <v/>
      </c>
      <c r="AC123" s="355">
        <v>3.0000000000000001E-3</v>
      </c>
      <c r="AD123" s="355" t="str">
        <f t="shared" si="30"/>
        <v>YES</v>
      </c>
      <c r="AE123" s="355" t="str">
        <f t="shared" si="31"/>
        <v/>
      </c>
      <c r="AF123" s="355" t="str">
        <f t="shared" si="32"/>
        <v/>
      </c>
      <c r="AG123" s="355" t="str">
        <f t="shared" si="33"/>
        <v/>
      </c>
      <c r="AH123" s="355">
        <f t="shared" si="34"/>
        <v>0</v>
      </c>
      <c r="AI123" s="355"/>
      <c r="AJ123" s="219"/>
      <c r="AK123" s="219"/>
      <c r="AL123" s="219"/>
      <c r="AM123" s="399"/>
      <c r="AN123" s="399"/>
      <c r="AO123" s="399"/>
      <c r="AP123" s="399"/>
    </row>
    <row r="124" spans="1:42" hidden="1" x14ac:dyDescent="0.25">
      <c r="A124" s="330"/>
      <c r="B124" s="48" t="s">
        <v>168</v>
      </c>
      <c r="C124" s="83" t="s">
        <v>27</v>
      </c>
      <c r="D124" s="84"/>
      <c r="E124" s="80" t="s">
        <v>28</v>
      </c>
      <c r="F124" s="180" t="s">
        <v>399</v>
      </c>
      <c r="G124" s="176">
        <v>8712044889139</v>
      </c>
      <c r="H124" s="18">
        <v>2</v>
      </c>
      <c r="I124" s="13">
        <v>1</v>
      </c>
      <c r="J124" s="15" t="s">
        <v>29</v>
      </c>
      <c r="K124" s="5" t="s">
        <v>26</v>
      </c>
      <c r="L124" s="200"/>
      <c r="M124" s="356" t="s">
        <v>19</v>
      </c>
      <c r="N124" s="355" t="s">
        <v>809</v>
      </c>
      <c r="O124" s="355">
        <v>85</v>
      </c>
      <c r="P124" s="355">
        <v>0.14199999999999999</v>
      </c>
      <c r="Q124" s="355"/>
      <c r="R124" s="355">
        <v>35</v>
      </c>
      <c r="S124" s="355" t="s">
        <v>576</v>
      </c>
      <c r="T124" s="355" t="s">
        <v>612</v>
      </c>
      <c r="U124" s="355">
        <f t="shared" si="26"/>
        <v>0</v>
      </c>
      <c r="V124" s="355"/>
      <c r="W124" s="360" t="str">
        <f>IF(U124=0,"",COUNTIF(W$27:W123,"&gt;0")+1)</f>
        <v/>
      </c>
      <c r="X124" s="360" t="str">
        <f>IF(U124=0,"",COUNTIF(X$27:X123,"&gt;0")+1)</f>
        <v/>
      </c>
      <c r="Y124" s="355"/>
      <c r="Z124" s="359">
        <f t="shared" si="27"/>
        <v>4.0039999999999996</v>
      </c>
      <c r="AA124" s="359">
        <f t="shared" si="28"/>
        <v>4.0039999999999996</v>
      </c>
      <c r="AB124" s="359" t="str">
        <f t="shared" si="29"/>
        <v/>
      </c>
      <c r="AC124" s="355">
        <v>4.0000000000000001E-3</v>
      </c>
      <c r="AD124" s="355" t="str">
        <f t="shared" si="30"/>
        <v/>
      </c>
      <c r="AE124" s="355">
        <f t="shared" si="31"/>
        <v>10</v>
      </c>
      <c r="AF124" s="355">
        <f t="shared" si="32"/>
        <v>10</v>
      </c>
      <c r="AG124" s="355" t="str">
        <f t="shared" si="33"/>
        <v/>
      </c>
      <c r="AH124" s="355">
        <f t="shared" si="34"/>
        <v>0</v>
      </c>
      <c r="AI124" s="355"/>
      <c r="AJ124" s="219"/>
      <c r="AK124" s="219"/>
      <c r="AL124" s="219"/>
      <c r="AM124" s="399"/>
      <c r="AN124" s="399"/>
      <c r="AO124" s="399"/>
      <c r="AP124" s="399"/>
    </row>
    <row r="125" spans="1:42" hidden="1" x14ac:dyDescent="0.25">
      <c r="A125" s="330"/>
      <c r="B125" s="48" t="s">
        <v>168</v>
      </c>
      <c r="C125" s="45" t="s">
        <v>172</v>
      </c>
      <c r="D125" s="79"/>
      <c r="E125" s="80" t="s">
        <v>173</v>
      </c>
      <c r="F125" s="180" t="s">
        <v>400</v>
      </c>
      <c r="G125" s="176">
        <v>8712815765419</v>
      </c>
      <c r="H125" s="18">
        <v>2</v>
      </c>
      <c r="I125" s="13">
        <v>1</v>
      </c>
      <c r="J125" s="15" t="s">
        <v>174</v>
      </c>
      <c r="K125" s="5" t="s">
        <v>26</v>
      </c>
      <c r="L125" s="200"/>
      <c r="M125" s="356" t="s">
        <v>30</v>
      </c>
      <c r="N125" s="355" t="s">
        <v>805</v>
      </c>
      <c r="O125" s="355"/>
      <c r="P125" s="355">
        <v>0.14199999999999999</v>
      </c>
      <c r="Q125" s="355"/>
      <c r="R125" s="355">
        <v>35</v>
      </c>
      <c r="S125" s="355" t="s">
        <v>576</v>
      </c>
      <c r="T125" s="355" t="s">
        <v>612</v>
      </c>
      <c r="U125" s="355">
        <f t="shared" si="26"/>
        <v>0</v>
      </c>
      <c r="V125" s="355"/>
      <c r="W125" s="360" t="str">
        <f>IF(U125=0,"",COUNTIF(W$27:W124,"&gt;0")+1)</f>
        <v/>
      </c>
      <c r="X125" s="360" t="str">
        <f>IF(U125=0,"",COUNTIF(X$27:X124,"&gt;0")+1)</f>
        <v/>
      </c>
      <c r="Y125" s="355"/>
      <c r="Z125" s="359" t="str">
        <f t="shared" si="27"/>
        <v/>
      </c>
      <c r="AA125" s="359" t="str">
        <f t="shared" si="28"/>
        <v/>
      </c>
      <c r="AB125" s="359" t="str">
        <f t="shared" si="29"/>
        <v/>
      </c>
      <c r="AC125" s="355">
        <v>5.0000000000000001E-3</v>
      </c>
      <c r="AD125" s="355" t="str">
        <f t="shared" si="30"/>
        <v>YES</v>
      </c>
      <c r="AE125" s="355" t="str">
        <f t="shared" si="31"/>
        <v/>
      </c>
      <c r="AF125" s="355" t="str">
        <f t="shared" si="32"/>
        <v/>
      </c>
      <c r="AG125" s="355" t="str">
        <f t="shared" si="33"/>
        <v/>
      </c>
      <c r="AH125" s="355">
        <f t="shared" si="34"/>
        <v>0</v>
      </c>
      <c r="AI125" s="355"/>
      <c r="AJ125" s="219"/>
      <c r="AK125" s="219"/>
      <c r="AL125" s="219"/>
      <c r="AM125" s="399"/>
      <c r="AN125" s="399"/>
      <c r="AO125" s="399"/>
      <c r="AP125" s="399"/>
    </row>
    <row r="126" spans="1:42" hidden="1" x14ac:dyDescent="0.25">
      <c r="A126" s="330"/>
      <c r="B126" s="48" t="s">
        <v>168</v>
      </c>
      <c r="C126" s="78" t="s">
        <v>34</v>
      </c>
      <c r="D126" s="79"/>
      <c r="E126" s="80" t="s">
        <v>35</v>
      </c>
      <c r="F126" s="180" t="s">
        <v>399</v>
      </c>
      <c r="G126" s="176">
        <v>8712044889191</v>
      </c>
      <c r="H126" s="13">
        <v>1</v>
      </c>
      <c r="I126" s="13">
        <v>1</v>
      </c>
      <c r="J126" s="15" t="s">
        <v>36</v>
      </c>
      <c r="K126" s="5" t="s">
        <v>18</v>
      </c>
      <c r="L126" s="200" t="s">
        <v>23</v>
      </c>
      <c r="M126" s="356" t="s">
        <v>30</v>
      </c>
      <c r="N126" s="355" t="s">
        <v>806</v>
      </c>
      <c r="O126" s="355"/>
      <c r="P126" s="355">
        <v>0.14199999999999999</v>
      </c>
      <c r="Q126" s="355"/>
      <c r="R126" s="355">
        <v>35</v>
      </c>
      <c r="S126" s="355" t="s">
        <v>576</v>
      </c>
      <c r="T126" s="355" t="s">
        <v>612</v>
      </c>
      <c r="U126" s="355">
        <f t="shared" si="26"/>
        <v>0</v>
      </c>
      <c r="V126" s="355"/>
      <c r="W126" s="360" t="str">
        <f>IF(U126=0,"",COUNTIF(W$27:W125,"&gt;0")+1)</f>
        <v/>
      </c>
      <c r="X126" s="360" t="str">
        <f>IF(U126=0,"",COUNTIF(X$27:X125,"&gt;0")+1)</f>
        <v/>
      </c>
      <c r="Y126" s="355"/>
      <c r="Z126" s="359" t="str">
        <f t="shared" si="27"/>
        <v/>
      </c>
      <c r="AA126" s="359" t="str">
        <f t="shared" si="28"/>
        <v/>
      </c>
      <c r="AB126" s="359" t="str">
        <f t="shared" si="29"/>
        <v/>
      </c>
      <c r="AC126" s="355">
        <v>6.0000000000000001E-3</v>
      </c>
      <c r="AD126" s="355" t="str">
        <f t="shared" si="30"/>
        <v>YES</v>
      </c>
      <c r="AE126" s="355" t="str">
        <f t="shared" si="31"/>
        <v/>
      </c>
      <c r="AF126" s="355" t="str">
        <f t="shared" si="32"/>
        <v/>
      </c>
      <c r="AG126" s="355" t="str">
        <f t="shared" si="33"/>
        <v/>
      </c>
      <c r="AH126" s="355">
        <f t="shared" si="34"/>
        <v>0</v>
      </c>
      <c r="AI126" s="355"/>
      <c r="AJ126" s="219"/>
      <c r="AK126" s="219"/>
      <c r="AL126" s="219"/>
      <c r="AM126" s="399"/>
      <c r="AN126" s="399"/>
      <c r="AO126" s="399"/>
      <c r="AP126" s="399"/>
    </row>
    <row r="127" spans="1:42" hidden="1" x14ac:dyDescent="0.25">
      <c r="A127" s="330"/>
      <c r="B127" s="48" t="s">
        <v>168</v>
      </c>
      <c r="C127" s="78" t="s">
        <v>37</v>
      </c>
      <c r="D127" s="79"/>
      <c r="E127" s="80" t="s">
        <v>38</v>
      </c>
      <c r="F127" s="180" t="s">
        <v>399</v>
      </c>
      <c r="G127" s="176">
        <v>8712044889214</v>
      </c>
      <c r="H127" s="13">
        <v>1</v>
      </c>
      <c r="I127" s="18">
        <v>2</v>
      </c>
      <c r="J127" s="15" t="s">
        <v>39</v>
      </c>
      <c r="K127" s="5" t="s">
        <v>26</v>
      </c>
      <c r="L127" s="200" t="s">
        <v>23</v>
      </c>
      <c r="M127" s="356" t="s">
        <v>30</v>
      </c>
      <c r="N127" s="355" t="s">
        <v>807</v>
      </c>
      <c r="O127" s="355"/>
      <c r="P127" s="355">
        <v>0.14199999999999999</v>
      </c>
      <c r="Q127" s="355"/>
      <c r="R127" s="355">
        <v>35</v>
      </c>
      <c r="S127" s="355" t="s">
        <v>576</v>
      </c>
      <c r="T127" s="355" t="s">
        <v>612</v>
      </c>
      <c r="U127" s="355">
        <f t="shared" si="26"/>
        <v>0</v>
      </c>
      <c r="V127" s="355"/>
      <c r="W127" s="360" t="str">
        <f>IF(U127=0,"",COUNTIF(W$27:W126,"&gt;0")+1)</f>
        <v/>
      </c>
      <c r="X127" s="360" t="str">
        <f>IF(U127=0,"",COUNTIF(X$27:X126,"&gt;0")+1)</f>
        <v/>
      </c>
      <c r="Y127" s="355"/>
      <c r="Z127" s="359" t="str">
        <f t="shared" si="27"/>
        <v/>
      </c>
      <c r="AA127" s="359" t="str">
        <f t="shared" si="28"/>
        <v/>
      </c>
      <c r="AB127" s="359" t="str">
        <f t="shared" si="29"/>
        <v/>
      </c>
      <c r="AC127" s="355">
        <v>7.0000000000000001E-3</v>
      </c>
      <c r="AD127" s="355" t="str">
        <f t="shared" si="30"/>
        <v>YES</v>
      </c>
      <c r="AE127" s="355" t="str">
        <f t="shared" si="31"/>
        <v/>
      </c>
      <c r="AF127" s="355" t="str">
        <f t="shared" si="32"/>
        <v/>
      </c>
      <c r="AG127" s="355" t="str">
        <f t="shared" si="33"/>
        <v/>
      </c>
      <c r="AH127" s="355">
        <f t="shared" si="34"/>
        <v>0</v>
      </c>
      <c r="AI127" s="355"/>
      <c r="AJ127" s="219"/>
      <c r="AK127" s="219"/>
      <c r="AL127" s="219"/>
      <c r="AM127" s="399"/>
      <c r="AN127" s="399"/>
      <c r="AO127" s="399"/>
      <c r="AP127" s="399"/>
    </row>
    <row r="128" spans="1:42" hidden="1" x14ac:dyDescent="0.25">
      <c r="A128" s="330"/>
      <c r="B128" s="48" t="s">
        <v>168</v>
      </c>
      <c r="C128" s="150" t="s">
        <v>534</v>
      </c>
      <c r="D128" s="85"/>
      <c r="E128" s="80" t="s">
        <v>370</v>
      </c>
      <c r="F128" s="180" t="s">
        <v>400</v>
      </c>
      <c r="G128" s="176">
        <v>8712044889962</v>
      </c>
      <c r="H128" s="13">
        <v>1</v>
      </c>
      <c r="I128" s="18">
        <v>2</v>
      </c>
      <c r="J128" s="22" t="s">
        <v>351</v>
      </c>
      <c r="K128" s="5" t="s">
        <v>26</v>
      </c>
      <c r="L128" s="200"/>
      <c r="M128" s="356" t="s">
        <v>30</v>
      </c>
      <c r="N128" s="355" t="s">
        <v>808</v>
      </c>
      <c r="O128" s="355"/>
      <c r="P128" s="355">
        <v>0.14199999999999999</v>
      </c>
      <c r="Q128" s="355"/>
      <c r="R128" s="355">
        <v>35</v>
      </c>
      <c r="S128" s="355" t="s">
        <v>576</v>
      </c>
      <c r="T128" s="355" t="s">
        <v>612</v>
      </c>
      <c r="U128" s="355">
        <f t="shared" si="26"/>
        <v>0</v>
      </c>
      <c r="V128" s="355"/>
      <c r="W128" s="360" t="str">
        <f>IF(U128=0,"",COUNTIF(W$27:W127,"&gt;0")+1)</f>
        <v/>
      </c>
      <c r="X128" s="360" t="str">
        <f>IF(U128=0,"",COUNTIF(X$27:X127,"&gt;0")+1)</f>
        <v/>
      </c>
      <c r="Y128" s="355"/>
      <c r="Z128" s="359" t="str">
        <f t="shared" si="27"/>
        <v/>
      </c>
      <c r="AA128" s="359" t="str">
        <f t="shared" si="28"/>
        <v/>
      </c>
      <c r="AB128" s="359" t="str">
        <f t="shared" si="29"/>
        <v/>
      </c>
      <c r="AC128" s="355">
        <v>8.0000000000000002E-3</v>
      </c>
      <c r="AD128" s="355" t="str">
        <f t="shared" si="30"/>
        <v>YES</v>
      </c>
      <c r="AE128" s="355" t="str">
        <f t="shared" si="31"/>
        <v/>
      </c>
      <c r="AF128" s="355" t="str">
        <f t="shared" si="32"/>
        <v/>
      </c>
      <c r="AG128" s="355" t="str">
        <f t="shared" si="33"/>
        <v/>
      </c>
      <c r="AH128" s="355">
        <f t="shared" si="34"/>
        <v>0</v>
      </c>
      <c r="AI128" s="355"/>
      <c r="AJ128" s="219"/>
      <c r="AK128" s="219"/>
      <c r="AL128" s="219"/>
      <c r="AM128" s="399"/>
      <c r="AN128" s="399"/>
      <c r="AO128" s="399"/>
      <c r="AP128" s="399"/>
    </row>
    <row r="129" spans="1:42" hidden="1" x14ac:dyDescent="0.25">
      <c r="A129" s="337"/>
      <c r="B129" s="48" t="s">
        <v>168</v>
      </c>
      <c r="C129" s="151" t="s">
        <v>335</v>
      </c>
      <c r="D129" s="77"/>
      <c r="E129" s="137" t="s">
        <v>369</v>
      </c>
      <c r="F129" s="181" t="s">
        <v>400</v>
      </c>
      <c r="G129" s="176">
        <v>8712815756257</v>
      </c>
      <c r="H129" s="13">
        <v>1</v>
      </c>
      <c r="I129" s="13">
        <v>1</v>
      </c>
      <c r="J129" s="135" t="s">
        <v>352</v>
      </c>
      <c r="K129" s="5" t="s">
        <v>26</v>
      </c>
      <c r="L129" s="200"/>
      <c r="M129" s="356" t="s">
        <v>30</v>
      </c>
      <c r="N129" s="355" t="s">
        <v>810</v>
      </c>
      <c r="O129" s="355"/>
      <c r="P129" s="355">
        <v>0.14199999999999999</v>
      </c>
      <c r="Q129" s="355"/>
      <c r="R129" s="355">
        <v>35</v>
      </c>
      <c r="S129" s="355" t="s">
        <v>576</v>
      </c>
      <c r="T129" s="355" t="s">
        <v>612</v>
      </c>
      <c r="U129" s="355">
        <f t="shared" si="26"/>
        <v>0</v>
      </c>
      <c r="V129" s="355"/>
      <c r="W129" s="360" t="str">
        <f>IF(U129=0,"",COUNTIF(W$27:W128,"&gt;0")+1)</f>
        <v/>
      </c>
      <c r="X129" s="360" t="str">
        <f>IF(U129=0,"",COUNTIF(X$27:X128,"&gt;0")+1)</f>
        <v/>
      </c>
      <c r="Y129" s="355"/>
      <c r="Z129" s="359" t="str">
        <f t="shared" si="27"/>
        <v/>
      </c>
      <c r="AA129" s="359" t="str">
        <f t="shared" si="28"/>
        <v/>
      </c>
      <c r="AB129" s="359" t="str">
        <f t="shared" si="29"/>
        <v/>
      </c>
      <c r="AC129" s="355">
        <v>8.9999999999999993E-3</v>
      </c>
      <c r="AD129" s="355" t="str">
        <f t="shared" si="30"/>
        <v>YES</v>
      </c>
      <c r="AE129" s="355" t="str">
        <f t="shared" si="31"/>
        <v/>
      </c>
      <c r="AF129" s="355" t="str">
        <f t="shared" si="32"/>
        <v/>
      </c>
      <c r="AG129" s="355" t="str">
        <f t="shared" si="33"/>
        <v/>
      </c>
      <c r="AH129" s="355">
        <f t="shared" si="34"/>
        <v>0</v>
      </c>
      <c r="AI129" s="355"/>
      <c r="AJ129" s="219"/>
      <c r="AK129" s="219"/>
      <c r="AL129" s="219"/>
      <c r="AM129" s="399"/>
      <c r="AN129" s="399"/>
      <c r="AO129" s="399"/>
      <c r="AP129" s="399"/>
    </row>
    <row r="130" spans="1:42" hidden="1" x14ac:dyDescent="0.25">
      <c r="A130" s="330"/>
      <c r="B130" s="48" t="s">
        <v>168</v>
      </c>
      <c r="C130" s="79" t="s">
        <v>490</v>
      </c>
      <c r="D130" s="79"/>
      <c r="E130" s="80" t="s">
        <v>175</v>
      </c>
      <c r="F130" s="180" t="s">
        <v>400</v>
      </c>
      <c r="G130" s="177">
        <v>8719743711488</v>
      </c>
      <c r="H130" s="19">
        <v>3</v>
      </c>
      <c r="I130" s="13">
        <v>1</v>
      </c>
      <c r="J130" s="15" t="s">
        <v>176</v>
      </c>
      <c r="K130" s="40" t="s">
        <v>26</v>
      </c>
      <c r="L130" s="200"/>
      <c r="M130" s="356" t="s">
        <v>30</v>
      </c>
      <c r="N130" s="355" t="s">
        <v>811</v>
      </c>
      <c r="O130" s="355"/>
      <c r="P130" s="355">
        <v>0.14199999999999999</v>
      </c>
      <c r="Q130" s="355"/>
      <c r="R130" s="355">
        <v>35</v>
      </c>
      <c r="S130" s="355" t="s">
        <v>576</v>
      </c>
      <c r="T130" s="355" t="s">
        <v>612</v>
      </c>
      <c r="U130" s="355">
        <f t="shared" si="26"/>
        <v>0</v>
      </c>
      <c r="V130" s="355"/>
      <c r="W130" s="360" t="str">
        <f>IF(U130=0,"",COUNTIF(W$27:W129,"&gt;0")+1)</f>
        <v/>
      </c>
      <c r="X130" s="360" t="str">
        <f>IF(U130=0,"",COUNTIF(X$27:X129,"&gt;0")+1)</f>
        <v/>
      </c>
      <c r="Y130" s="355"/>
      <c r="Z130" s="359" t="str">
        <f t="shared" si="27"/>
        <v/>
      </c>
      <c r="AA130" s="359" t="str">
        <f t="shared" si="28"/>
        <v/>
      </c>
      <c r="AB130" s="359" t="str">
        <f t="shared" si="29"/>
        <v/>
      </c>
      <c r="AC130" s="355">
        <v>0.01</v>
      </c>
      <c r="AD130" s="355" t="str">
        <f t="shared" si="30"/>
        <v>YES</v>
      </c>
      <c r="AE130" s="355" t="str">
        <f t="shared" si="31"/>
        <v/>
      </c>
      <c r="AF130" s="355" t="str">
        <f t="shared" si="32"/>
        <v/>
      </c>
      <c r="AG130" s="355" t="str">
        <f t="shared" si="33"/>
        <v/>
      </c>
      <c r="AH130" s="355">
        <f t="shared" si="34"/>
        <v>0</v>
      </c>
      <c r="AI130" s="355"/>
      <c r="AJ130" s="219"/>
      <c r="AK130" s="219"/>
      <c r="AL130" s="219"/>
      <c r="AM130" s="399"/>
      <c r="AN130" s="399"/>
      <c r="AO130" s="399"/>
      <c r="AP130" s="399"/>
    </row>
    <row r="131" spans="1:42" hidden="1" x14ac:dyDescent="0.25">
      <c r="A131" s="330"/>
      <c r="B131" s="48" t="s">
        <v>168</v>
      </c>
      <c r="C131" s="79" t="s">
        <v>489</v>
      </c>
      <c r="D131" s="79"/>
      <c r="E131" s="80" t="s">
        <v>175</v>
      </c>
      <c r="F131" s="180" t="s">
        <v>400</v>
      </c>
      <c r="G131" s="177">
        <v>8718226850782</v>
      </c>
      <c r="H131" s="19">
        <v>3</v>
      </c>
      <c r="I131" s="13">
        <v>1</v>
      </c>
      <c r="J131" s="15" t="s">
        <v>176</v>
      </c>
      <c r="K131" s="40" t="s">
        <v>26</v>
      </c>
      <c r="L131" s="200"/>
      <c r="M131" s="356" t="s">
        <v>30</v>
      </c>
      <c r="N131" s="355" t="s">
        <v>812</v>
      </c>
      <c r="O131" s="355"/>
      <c r="P131" s="355">
        <v>0.14199999999999999</v>
      </c>
      <c r="Q131" s="355"/>
      <c r="R131" s="355">
        <v>35</v>
      </c>
      <c r="S131" s="355" t="s">
        <v>576</v>
      </c>
      <c r="T131" s="355" t="s">
        <v>612</v>
      </c>
      <c r="U131" s="355">
        <f t="shared" si="26"/>
        <v>0</v>
      </c>
      <c r="V131" s="355"/>
      <c r="W131" s="360" t="str">
        <f>IF(U131=0,"",COUNTIF(W$27:W130,"&gt;0")+1)</f>
        <v/>
      </c>
      <c r="X131" s="360" t="str">
        <f>IF(U131=0,"",COUNTIF(X$27:X130,"&gt;0")+1)</f>
        <v/>
      </c>
      <c r="Y131" s="355"/>
      <c r="Z131" s="359" t="str">
        <f t="shared" si="27"/>
        <v/>
      </c>
      <c r="AA131" s="359" t="str">
        <f t="shared" si="28"/>
        <v/>
      </c>
      <c r="AB131" s="359" t="str">
        <f t="shared" si="29"/>
        <v/>
      </c>
      <c r="AC131" s="355">
        <v>1.0999999999999999E-2</v>
      </c>
      <c r="AD131" s="355" t="str">
        <f t="shared" si="30"/>
        <v>YES</v>
      </c>
      <c r="AE131" s="355" t="str">
        <f t="shared" si="31"/>
        <v/>
      </c>
      <c r="AF131" s="355" t="str">
        <f t="shared" si="32"/>
        <v/>
      </c>
      <c r="AG131" s="355" t="str">
        <f t="shared" si="33"/>
        <v/>
      </c>
      <c r="AH131" s="355">
        <f t="shared" si="34"/>
        <v>0</v>
      </c>
      <c r="AI131" s="355"/>
      <c r="AJ131" s="219"/>
      <c r="AK131" s="219"/>
      <c r="AL131" s="219"/>
      <c r="AM131" s="399"/>
      <c r="AN131" s="399"/>
      <c r="AO131" s="399"/>
      <c r="AP131" s="399"/>
    </row>
    <row r="132" spans="1:42" hidden="1" x14ac:dyDescent="0.25">
      <c r="A132" s="330"/>
      <c r="B132" s="48" t="s">
        <v>168</v>
      </c>
      <c r="C132" s="81" t="s">
        <v>40</v>
      </c>
      <c r="D132" s="82"/>
      <c r="E132" s="80" t="s">
        <v>41</v>
      </c>
      <c r="F132" s="180" t="s">
        <v>399</v>
      </c>
      <c r="G132" s="176">
        <v>8712044889245</v>
      </c>
      <c r="H132" s="18">
        <v>2</v>
      </c>
      <c r="I132" s="18">
        <v>2</v>
      </c>
      <c r="J132" s="15" t="s">
        <v>42</v>
      </c>
      <c r="K132" s="5" t="s">
        <v>26</v>
      </c>
      <c r="L132" s="200"/>
      <c r="M132" s="356" t="s">
        <v>30</v>
      </c>
      <c r="N132" s="355" t="s">
        <v>813</v>
      </c>
      <c r="O132" s="355"/>
      <c r="P132" s="355">
        <v>0.14199999999999999</v>
      </c>
      <c r="Q132" s="355"/>
      <c r="R132" s="355">
        <v>35</v>
      </c>
      <c r="S132" s="355" t="s">
        <v>576</v>
      </c>
      <c r="T132" s="355" t="s">
        <v>612</v>
      </c>
      <c r="U132" s="355">
        <f t="shared" si="26"/>
        <v>0</v>
      </c>
      <c r="V132" s="355"/>
      <c r="W132" s="360" t="str">
        <f>IF(U132=0,"",COUNTIF(W$27:W131,"&gt;0")+1)</f>
        <v/>
      </c>
      <c r="X132" s="360" t="str">
        <f>IF(U132=0,"",COUNTIF(X$27:X131,"&gt;0")+1)</f>
        <v/>
      </c>
      <c r="Y132" s="355"/>
      <c r="Z132" s="359" t="str">
        <f t="shared" si="27"/>
        <v/>
      </c>
      <c r="AA132" s="359" t="str">
        <f t="shared" si="28"/>
        <v/>
      </c>
      <c r="AB132" s="359" t="str">
        <f t="shared" si="29"/>
        <v/>
      </c>
      <c r="AC132" s="355">
        <v>1.2E-2</v>
      </c>
      <c r="AD132" s="355" t="str">
        <f t="shared" si="30"/>
        <v>YES</v>
      </c>
      <c r="AE132" s="355" t="str">
        <f t="shared" si="31"/>
        <v/>
      </c>
      <c r="AF132" s="355" t="str">
        <f t="shared" si="32"/>
        <v/>
      </c>
      <c r="AG132" s="355" t="str">
        <f t="shared" si="33"/>
        <v/>
      </c>
      <c r="AH132" s="355">
        <f t="shared" si="34"/>
        <v>0</v>
      </c>
      <c r="AI132" s="355"/>
      <c r="AJ132" s="219"/>
      <c r="AK132" s="219"/>
      <c r="AL132" s="219"/>
      <c r="AM132" s="399"/>
      <c r="AN132" s="399"/>
      <c r="AO132" s="399"/>
      <c r="AP132" s="399"/>
    </row>
    <row r="133" spans="1:42" hidden="1" x14ac:dyDescent="0.25">
      <c r="A133" s="330"/>
      <c r="B133" s="48" t="s">
        <v>168</v>
      </c>
      <c r="C133" s="153" t="s">
        <v>336</v>
      </c>
      <c r="D133" s="77"/>
      <c r="E133" s="137" t="s">
        <v>371</v>
      </c>
      <c r="F133" s="181" t="s">
        <v>399</v>
      </c>
      <c r="G133" s="176">
        <v>8712044889252</v>
      </c>
      <c r="H133" s="19">
        <v>3</v>
      </c>
      <c r="I133" s="19">
        <v>3</v>
      </c>
      <c r="J133" s="135" t="s">
        <v>353</v>
      </c>
      <c r="K133" s="5" t="s">
        <v>26</v>
      </c>
      <c r="L133" s="200" t="s">
        <v>23</v>
      </c>
      <c r="M133" s="357" t="s">
        <v>19</v>
      </c>
      <c r="N133" s="355" t="s">
        <v>814</v>
      </c>
      <c r="O133" s="355">
        <v>86</v>
      </c>
      <c r="P133" s="355">
        <v>0.14199999999999999</v>
      </c>
      <c r="Q133" s="355"/>
      <c r="R133" s="355">
        <v>35</v>
      </c>
      <c r="S133" s="355" t="s">
        <v>576</v>
      </c>
      <c r="T133" s="355" t="s">
        <v>612</v>
      </c>
      <c r="U133" s="355">
        <f t="shared" si="26"/>
        <v>0</v>
      </c>
      <c r="V133" s="355"/>
      <c r="W133" s="360" t="str">
        <f>IF(U133=0,"",COUNTIF(W$27:W132,"&gt;0")+1)</f>
        <v/>
      </c>
      <c r="X133" s="360" t="str">
        <f>IF(U133=0,"",COUNTIF(X$27:X132,"&gt;0")+1)</f>
        <v/>
      </c>
      <c r="Y133" s="355"/>
      <c r="Z133" s="359">
        <f t="shared" si="27"/>
        <v>7.5129999999999999</v>
      </c>
      <c r="AA133" s="359">
        <f t="shared" si="28"/>
        <v>7.5129999999999999</v>
      </c>
      <c r="AB133" s="359" t="str">
        <f t="shared" si="29"/>
        <v/>
      </c>
      <c r="AC133" s="355">
        <v>1.2999999999999999E-2</v>
      </c>
      <c r="AD133" s="355" t="str">
        <f t="shared" si="30"/>
        <v/>
      </c>
      <c r="AE133" s="355">
        <f t="shared" si="31"/>
        <v>17</v>
      </c>
      <c r="AF133" s="355">
        <f t="shared" si="32"/>
        <v>17</v>
      </c>
      <c r="AG133" s="355" t="str">
        <f t="shared" si="33"/>
        <v/>
      </c>
      <c r="AH133" s="355">
        <f t="shared" si="34"/>
        <v>0</v>
      </c>
      <c r="AI133" s="355"/>
      <c r="AJ133" s="219"/>
      <c r="AK133" s="219"/>
      <c r="AL133" s="219"/>
      <c r="AM133" s="399"/>
      <c r="AN133" s="399"/>
      <c r="AO133" s="399"/>
      <c r="AP133" s="399"/>
    </row>
    <row r="134" spans="1:42" hidden="1" x14ac:dyDescent="0.25">
      <c r="A134" s="330"/>
      <c r="B134" s="48" t="s">
        <v>168</v>
      </c>
      <c r="C134" s="151" t="s">
        <v>394</v>
      </c>
      <c r="D134" s="79"/>
      <c r="E134" s="80" t="s">
        <v>43</v>
      </c>
      <c r="F134" s="180" t="s">
        <v>399</v>
      </c>
      <c r="G134" s="176">
        <v>8712044889269</v>
      </c>
      <c r="H134" s="19">
        <v>3</v>
      </c>
      <c r="I134" s="13">
        <v>1</v>
      </c>
      <c r="J134" s="15" t="s">
        <v>44</v>
      </c>
      <c r="K134" s="5" t="s">
        <v>26</v>
      </c>
      <c r="L134" s="200" t="s">
        <v>23</v>
      </c>
      <c r="M134" s="356" t="s">
        <v>30</v>
      </c>
      <c r="N134" s="355" t="s">
        <v>815</v>
      </c>
      <c r="O134" s="355"/>
      <c r="P134" s="355">
        <v>0.14199999999999999</v>
      </c>
      <c r="Q134" s="355"/>
      <c r="R134" s="355">
        <v>35</v>
      </c>
      <c r="S134" s="355" t="s">
        <v>576</v>
      </c>
      <c r="T134" s="355" t="s">
        <v>612</v>
      </c>
      <c r="U134" s="355">
        <f t="shared" si="26"/>
        <v>0</v>
      </c>
      <c r="V134" s="355"/>
      <c r="W134" s="360" t="str">
        <f>IF(U134=0,"",COUNTIF(W$27:W133,"&gt;0")+1)</f>
        <v/>
      </c>
      <c r="X134" s="360" t="str">
        <f>IF(U134=0,"",COUNTIF(X$27:X133,"&gt;0")+1)</f>
        <v/>
      </c>
      <c r="Y134" s="355"/>
      <c r="Z134" s="359" t="str">
        <f t="shared" si="27"/>
        <v/>
      </c>
      <c r="AA134" s="359" t="str">
        <f t="shared" si="28"/>
        <v/>
      </c>
      <c r="AB134" s="359" t="str">
        <f t="shared" si="29"/>
        <v/>
      </c>
      <c r="AC134" s="355">
        <v>1.4E-2</v>
      </c>
      <c r="AD134" s="355" t="str">
        <f t="shared" si="30"/>
        <v>YES</v>
      </c>
      <c r="AE134" s="355" t="str">
        <f t="shared" si="31"/>
        <v/>
      </c>
      <c r="AF134" s="355" t="str">
        <f t="shared" si="32"/>
        <v/>
      </c>
      <c r="AG134" s="355" t="str">
        <f t="shared" si="33"/>
        <v/>
      </c>
      <c r="AH134" s="355">
        <f t="shared" si="34"/>
        <v>0</v>
      </c>
      <c r="AI134" s="355"/>
      <c r="AJ134" s="219"/>
      <c r="AK134" s="219"/>
      <c r="AL134" s="219"/>
      <c r="AM134" s="399"/>
      <c r="AN134" s="399"/>
      <c r="AO134" s="399"/>
      <c r="AP134" s="399"/>
    </row>
    <row r="135" spans="1:42" hidden="1" x14ac:dyDescent="0.25">
      <c r="A135" s="330"/>
      <c r="B135" s="48" t="s">
        <v>168</v>
      </c>
      <c r="C135" s="45" t="s">
        <v>491</v>
      </c>
      <c r="D135" s="79"/>
      <c r="E135" s="80" t="s">
        <v>45</v>
      </c>
      <c r="F135" s="180" t="s">
        <v>400</v>
      </c>
      <c r="G135" s="176">
        <v>8712044890296</v>
      </c>
      <c r="H135" s="18">
        <v>2</v>
      </c>
      <c r="I135" s="13">
        <v>1</v>
      </c>
      <c r="J135" s="15" t="s">
        <v>177</v>
      </c>
      <c r="K135" s="5" t="s">
        <v>26</v>
      </c>
      <c r="L135" s="200"/>
      <c r="M135" s="356" t="s">
        <v>30</v>
      </c>
      <c r="N135" s="355" t="s">
        <v>816</v>
      </c>
      <c r="O135" s="355"/>
      <c r="P135" s="355">
        <v>0.14199999999999999</v>
      </c>
      <c r="Q135" s="355"/>
      <c r="R135" s="355">
        <v>35</v>
      </c>
      <c r="S135" s="355" t="s">
        <v>576</v>
      </c>
      <c r="T135" s="355" t="s">
        <v>612</v>
      </c>
      <c r="U135" s="355">
        <f t="shared" si="26"/>
        <v>0</v>
      </c>
      <c r="V135" s="355"/>
      <c r="W135" s="360" t="str">
        <f>IF(U135=0,"",COUNTIF(W$27:W134,"&gt;0")+1)</f>
        <v/>
      </c>
      <c r="X135" s="360" t="str">
        <f>IF(U135=0,"",COUNTIF(X$27:X134,"&gt;0")+1)</f>
        <v/>
      </c>
      <c r="Y135" s="355"/>
      <c r="Z135" s="359" t="str">
        <f t="shared" si="27"/>
        <v/>
      </c>
      <c r="AA135" s="359" t="str">
        <f t="shared" si="28"/>
        <v/>
      </c>
      <c r="AB135" s="359" t="str">
        <f t="shared" si="29"/>
        <v/>
      </c>
      <c r="AC135" s="355">
        <v>1.4999999999999999E-2</v>
      </c>
      <c r="AD135" s="355" t="str">
        <f t="shared" si="30"/>
        <v>YES</v>
      </c>
      <c r="AE135" s="355" t="str">
        <f t="shared" si="31"/>
        <v/>
      </c>
      <c r="AF135" s="355" t="str">
        <f t="shared" si="32"/>
        <v/>
      </c>
      <c r="AG135" s="355" t="str">
        <f t="shared" si="33"/>
        <v/>
      </c>
      <c r="AH135" s="355">
        <f t="shared" si="34"/>
        <v>0</v>
      </c>
      <c r="AI135" s="355"/>
      <c r="AJ135" s="219"/>
      <c r="AK135" s="219"/>
      <c r="AL135" s="219"/>
      <c r="AM135" s="399"/>
      <c r="AN135" s="399"/>
      <c r="AO135" s="399"/>
      <c r="AP135" s="399"/>
    </row>
    <row r="136" spans="1:42" hidden="1" x14ac:dyDescent="0.25">
      <c r="A136" s="330"/>
      <c r="B136" s="48" t="s">
        <v>168</v>
      </c>
      <c r="C136" s="151" t="s">
        <v>492</v>
      </c>
      <c r="D136" s="79"/>
      <c r="E136" s="80" t="s">
        <v>45</v>
      </c>
      <c r="F136" s="180" t="s">
        <v>400</v>
      </c>
      <c r="G136" s="176">
        <v>8719743710603</v>
      </c>
      <c r="H136" s="18">
        <v>2</v>
      </c>
      <c r="I136" s="13">
        <v>1</v>
      </c>
      <c r="J136" s="15" t="s">
        <v>177</v>
      </c>
      <c r="K136" s="5" t="s">
        <v>26</v>
      </c>
      <c r="L136" s="200"/>
      <c r="M136" s="356" t="s">
        <v>30</v>
      </c>
      <c r="N136" s="355" t="s">
        <v>817</v>
      </c>
      <c r="O136" s="355"/>
      <c r="P136" s="355">
        <v>0.14199999999999999</v>
      </c>
      <c r="Q136" s="355"/>
      <c r="R136" s="355">
        <v>35</v>
      </c>
      <c r="S136" s="355" t="s">
        <v>576</v>
      </c>
      <c r="T136" s="355" t="s">
        <v>612</v>
      </c>
      <c r="U136" s="355">
        <f t="shared" si="26"/>
        <v>0</v>
      </c>
      <c r="V136" s="355"/>
      <c r="W136" s="360" t="str">
        <f>IF(U136=0,"",COUNTIF(W$27:W135,"&gt;0")+1)</f>
        <v/>
      </c>
      <c r="X136" s="360" t="str">
        <f>IF(U136=0,"",COUNTIF(X$27:X135,"&gt;0")+1)</f>
        <v/>
      </c>
      <c r="Y136" s="355"/>
      <c r="Z136" s="359" t="str">
        <f t="shared" si="27"/>
        <v/>
      </c>
      <c r="AA136" s="359" t="str">
        <f t="shared" si="28"/>
        <v/>
      </c>
      <c r="AB136" s="359" t="str">
        <f t="shared" si="29"/>
        <v/>
      </c>
      <c r="AC136" s="355">
        <v>1.6E-2</v>
      </c>
      <c r="AD136" s="355" t="str">
        <f t="shared" si="30"/>
        <v>YES</v>
      </c>
      <c r="AE136" s="355" t="str">
        <f t="shared" si="31"/>
        <v/>
      </c>
      <c r="AF136" s="355" t="str">
        <f t="shared" si="32"/>
        <v/>
      </c>
      <c r="AG136" s="355" t="str">
        <f t="shared" si="33"/>
        <v/>
      </c>
      <c r="AH136" s="355">
        <f t="shared" si="34"/>
        <v>0</v>
      </c>
      <c r="AI136" s="355"/>
      <c r="AJ136" s="219"/>
      <c r="AK136" s="219"/>
      <c r="AL136" s="219"/>
      <c r="AM136" s="399"/>
      <c r="AN136" s="399"/>
      <c r="AO136" s="399"/>
      <c r="AP136" s="399"/>
    </row>
    <row r="137" spans="1:42" hidden="1" x14ac:dyDescent="0.25">
      <c r="A137" s="330"/>
      <c r="B137" s="48" t="s">
        <v>168</v>
      </c>
      <c r="C137" s="78" t="s">
        <v>46</v>
      </c>
      <c r="D137" s="79"/>
      <c r="E137" s="80" t="s">
        <v>465</v>
      </c>
      <c r="F137" s="180" t="s">
        <v>399</v>
      </c>
      <c r="G137" s="176">
        <v>8712044889290</v>
      </c>
      <c r="H137" s="13">
        <v>1</v>
      </c>
      <c r="I137" s="18">
        <v>2</v>
      </c>
      <c r="J137" s="15" t="s">
        <v>47</v>
      </c>
      <c r="K137" s="5" t="s">
        <v>26</v>
      </c>
      <c r="L137" s="200"/>
      <c r="M137" s="357" t="s">
        <v>19</v>
      </c>
      <c r="N137" s="355" t="s">
        <v>818</v>
      </c>
      <c r="O137" s="355">
        <v>87</v>
      </c>
      <c r="P137" s="355">
        <v>0.14199999999999999</v>
      </c>
      <c r="Q137" s="355"/>
      <c r="R137" s="355">
        <v>35</v>
      </c>
      <c r="S137" s="355" t="s">
        <v>576</v>
      </c>
      <c r="T137" s="355" t="s">
        <v>612</v>
      </c>
      <c r="U137" s="355">
        <f t="shared" si="26"/>
        <v>0</v>
      </c>
      <c r="V137" s="355"/>
      <c r="W137" s="360" t="str">
        <f>IF(U137=0,"",COUNTIF(W$27:W136,"&gt;0")+1)</f>
        <v/>
      </c>
      <c r="X137" s="360" t="str">
        <f>IF(U137=0,"",COUNTIF(X$27:X136,"&gt;0")+1)</f>
        <v/>
      </c>
      <c r="Y137" s="355"/>
      <c r="Z137" s="359">
        <f t="shared" si="27"/>
        <v>3.5169999999999999</v>
      </c>
      <c r="AA137" s="359">
        <f t="shared" si="28"/>
        <v>3.5169999999999999</v>
      </c>
      <c r="AB137" s="359" t="str">
        <f t="shared" si="29"/>
        <v/>
      </c>
      <c r="AC137" s="355">
        <v>1.7000000000000001E-2</v>
      </c>
      <c r="AD137" s="355" t="str">
        <f t="shared" si="30"/>
        <v/>
      </c>
      <c r="AE137" s="355">
        <f t="shared" si="31"/>
        <v>6</v>
      </c>
      <c r="AF137" s="355">
        <f t="shared" si="32"/>
        <v>6</v>
      </c>
      <c r="AG137" s="355" t="str">
        <f t="shared" si="33"/>
        <v/>
      </c>
      <c r="AH137" s="355">
        <f t="shared" si="34"/>
        <v>0</v>
      </c>
      <c r="AI137" s="355"/>
      <c r="AJ137" s="219"/>
      <c r="AK137" s="219"/>
      <c r="AL137" s="219"/>
      <c r="AM137" s="399"/>
      <c r="AN137" s="399"/>
      <c r="AO137" s="399"/>
      <c r="AP137" s="399"/>
    </row>
    <row r="138" spans="1:42" hidden="1" x14ac:dyDescent="0.25">
      <c r="A138" s="330"/>
      <c r="B138" s="48" t="s">
        <v>168</v>
      </c>
      <c r="C138" s="78" t="s">
        <v>178</v>
      </c>
      <c r="D138" s="79"/>
      <c r="E138" s="86" t="s">
        <v>179</v>
      </c>
      <c r="F138" s="187" t="s">
        <v>400</v>
      </c>
      <c r="G138" s="176">
        <v>8718226850140</v>
      </c>
      <c r="H138" s="13">
        <v>1</v>
      </c>
      <c r="I138" s="18">
        <v>2</v>
      </c>
      <c r="J138" s="15" t="s">
        <v>48</v>
      </c>
      <c r="K138" s="5" t="s">
        <v>26</v>
      </c>
      <c r="L138" s="200"/>
      <c r="M138" s="356" t="s">
        <v>30</v>
      </c>
      <c r="N138" s="355" t="s">
        <v>819</v>
      </c>
      <c r="O138" s="355"/>
      <c r="P138" s="355">
        <v>0.14199999999999999</v>
      </c>
      <c r="Q138" s="355"/>
      <c r="R138" s="355">
        <v>35</v>
      </c>
      <c r="S138" s="355" t="s">
        <v>576</v>
      </c>
      <c r="T138" s="355" t="s">
        <v>612</v>
      </c>
      <c r="U138" s="355">
        <f t="shared" si="26"/>
        <v>0</v>
      </c>
      <c r="V138" s="355"/>
      <c r="W138" s="360" t="str">
        <f>IF(U138=0,"",COUNTIF(W$27:W137,"&gt;0")+1)</f>
        <v/>
      </c>
      <c r="X138" s="360" t="str">
        <f>IF(U138=0,"",COUNTIF(X$27:X137,"&gt;0")+1)</f>
        <v/>
      </c>
      <c r="Y138" s="355"/>
      <c r="Z138" s="359" t="str">
        <f t="shared" si="27"/>
        <v/>
      </c>
      <c r="AA138" s="359" t="str">
        <f t="shared" si="28"/>
        <v/>
      </c>
      <c r="AB138" s="359" t="str">
        <f t="shared" si="29"/>
        <v/>
      </c>
      <c r="AC138" s="355">
        <v>1.7999999999999999E-2</v>
      </c>
      <c r="AD138" s="355" t="str">
        <f t="shared" si="30"/>
        <v>YES</v>
      </c>
      <c r="AE138" s="355" t="str">
        <f t="shared" si="31"/>
        <v/>
      </c>
      <c r="AF138" s="355" t="str">
        <f t="shared" si="32"/>
        <v/>
      </c>
      <c r="AG138" s="355" t="str">
        <f t="shared" si="33"/>
        <v/>
      </c>
      <c r="AH138" s="355">
        <f t="shared" si="34"/>
        <v>0</v>
      </c>
      <c r="AI138" s="355"/>
      <c r="AJ138" s="219"/>
      <c r="AK138" s="219"/>
      <c r="AL138" s="219"/>
      <c r="AM138" s="399"/>
      <c r="AN138" s="399"/>
      <c r="AO138" s="399"/>
      <c r="AP138" s="399"/>
    </row>
    <row r="139" spans="1:42" hidden="1" x14ac:dyDescent="0.25">
      <c r="A139" s="330"/>
      <c r="B139" s="48" t="s">
        <v>168</v>
      </c>
      <c r="C139" s="78" t="s">
        <v>49</v>
      </c>
      <c r="D139" s="79"/>
      <c r="E139" s="80" t="s">
        <v>50</v>
      </c>
      <c r="F139" s="180" t="s">
        <v>400</v>
      </c>
      <c r="G139" s="176">
        <v>8712044889993</v>
      </c>
      <c r="H139" s="13">
        <v>1</v>
      </c>
      <c r="I139" s="13">
        <v>1</v>
      </c>
      <c r="J139" s="15" t="s">
        <v>51</v>
      </c>
      <c r="K139" s="5" t="s">
        <v>13</v>
      </c>
      <c r="L139" s="200"/>
      <c r="M139" s="356" t="s">
        <v>30</v>
      </c>
      <c r="N139" s="355" t="s">
        <v>820</v>
      </c>
      <c r="O139" s="355"/>
      <c r="P139" s="355">
        <v>0.14199999999999999</v>
      </c>
      <c r="Q139" s="355"/>
      <c r="R139" s="355">
        <v>35</v>
      </c>
      <c r="S139" s="355" t="s">
        <v>576</v>
      </c>
      <c r="T139" s="355" t="s">
        <v>612</v>
      </c>
      <c r="U139" s="355">
        <f t="shared" si="26"/>
        <v>0</v>
      </c>
      <c r="V139" s="355"/>
      <c r="W139" s="360" t="str">
        <f>IF(U139=0,"",COUNTIF(W$27:W138,"&gt;0")+1)</f>
        <v/>
      </c>
      <c r="X139" s="360" t="str">
        <f>IF(U139=0,"",COUNTIF(X$27:X138,"&gt;0")+1)</f>
        <v/>
      </c>
      <c r="Y139" s="355"/>
      <c r="Z139" s="359" t="str">
        <f t="shared" si="27"/>
        <v/>
      </c>
      <c r="AA139" s="359" t="str">
        <f t="shared" si="28"/>
        <v/>
      </c>
      <c r="AB139" s="359" t="str">
        <f t="shared" si="29"/>
        <v/>
      </c>
      <c r="AC139" s="355">
        <v>1.9E-2</v>
      </c>
      <c r="AD139" s="355" t="str">
        <f t="shared" si="30"/>
        <v>YES</v>
      </c>
      <c r="AE139" s="355" t="str">
        <f t="shared" si="31"/>
        <v/>
      </c>
      <c r="AF139" s="355" t="str">
        <f t="shared" si="32"/>
        <v/>
      </c>
      <c r="AG139" s="355" t="str">
        <f t="shared" si="33"/>
        <v/>
      </c>
      <c r="AH139" s="355">
        <f t="shared" si="34"/>
        <v>0</v>
      </c>
      <c r="AI139" s="355"/>
      <c r="AJ139" s="219"/>
      <c r="AK139" s="219"/>
      <c r="AL139" s="219"/>
      <c r="AM139" s="399"/>
      <c r="AN139" s="399"/>
      <c r="AO139" s="399"/>
      <c r="AP139" s="399"/>
    </row>
    <row r="140" spans="1:42" hidden="1" x14ac:dyDescent="0.25">
      <c r="A140" s="330"/>
      <c r="B140" s="48" t="s">
        <v>168</v>
      </c>
      <c r="C140" s="78" t="s">
        <v>52</v>
      </c>
      <c r="D140" s="79"/>
      <c r="E140" s="80" t="s">
        <v>53</v>
      </c>
      <c r="F140" s="180" t="s">
        <v>400</v>
      </c>
      <c r="G140" s="176">
        <v>8712044890005</v>
      </c>
      <c r="H140" s="18">
        <v>2</v>
      </c>
      <c r="I140" s="13">
        <v>1</v>
      </c>
      <c r="J140" s="15" t="s">
        <v>54</v>
      </c>
      <c r="K140" s="5" t="s">
        <v>26</v>
      </c>
      <c r="L140" s="200"/>
      <c r="M140" s="356" t="s">
        <v>30</v>
      </c>
      <c r="N140" s="355" t="s">
        <v>821</v>
      </c>
      <c r="O140" s="355"/>
      <c r="P140" s="355">
        <v>0.14199999999999999</v>
      </c>
      <c r="Q140" s="355"/>
      <c r="R140" s="355">
        <v>35</v>
      </c>
      <c r="S140" s="355" t="s">
        <v>576</v>
      </c>
      <c r="T140" s="355" t="s">
        <v>612</v>
      </c>
      <c r="U140" s="355">
        <f t="shared" si="26"/>
        <v>0</v>
      </c>
      <c r="V140" s="355"/>
      <c r="W140" s="360" t="str">
        <f>IF(U140=0,"",COUNTIF(W$27:W139,"&gt;0")+1)</f>
        <v/>
      </c>
      <c r="X140" s="360" t="str">
        <f>IF(U140=0,"",COUNTIF(X$27:X139,"&gt;0")+1)</f>
        <v/>
      </c>
      <c r="Y140" s="355"/>
      <c r="Z140" s="359" t="str">
        <f t="shared" si="27"/>
        <v/>
      </c>
      <c r="AA140" s="359" t="str">
        <f t="shared" si="28"/>
        <v/>
      </c>
      <c r="AB140" s="359" t="str">
        <f t="shared" si="29"/>
        <v/>
      </c>
      <c r="AC140" s="355">
        <v>0.02</v>
      </c>
      <c r="AD140" s="355" t="str">
        <f t="shared" si="30"/>
        <v>YES</v>
      </c>
      <c r="AE140" s="355" t="str">
        <f t="shared" si="31"/>
        <v/>
      </c>
      <c r="AF140" s="355" t="str">
        <f t="shared" si="32"/>
        <v/>
      </c>
      <c r="AG140" s="355" t="str">
        <f t="shared" si="33"/>
        <v/>
      </c>
      <c r="AH140" s="355">
        <f t="shared" si="34"/>
        <v>0</v>
      </c>
      <c r="AI140" s="355"/>
      <c r="AJ140" s="219"/>
      <c r="AK140" s="219"/>
      <c r="AL140" s="219"/>
      <c r="AM140" s="399"/>
      <c r="AN140" s="399"/>
      <c r="AO140" s="399"/>
      <c r="AP140" s="399"/>
    </row>
    <row r="141" spans="1:42" hidden="1" x14ac:dyDescent="0.25">
      <c r="A141" s="330"/>
      <c r="B141" s="48" t="s">
        <v>168</v>
      </c>
      <c r="C141" s="151" t="s">
        <v>395</v>
      </c>
      <c r="D141" s="79"/>
      <c r="E141" s="80" t="s">
        <v>401</v>
      </c>
      <c r="F141" s="180" t="s">
        <v>399</v>
      </c>
      <c r="G141" s="176">
        <v>8712044889344</v>
      </c>
      <c r="H141" s="18">
        <v>2</v>
      </c>
      <c r="I141" s="13">
        <v>1</v>
      </c>
      <c r="J141" s="15" t="s">
        <v>402</v>
      </c>
      <c r="K141" s="5" t="s">
        <v>26</v>
      </c>
      <c r="L141" s="200" t="s">
        <v>23</v>
      </c>
      <c r="M141" s="356" t="s">
        <v>30</v>
      </c>
      <c r="N141" s="355" t="s">
        <v>822</v>
      </c>
      <c r="O141" s="355"/>
      <c r="P141" s="355">
        <v>0.14199999999999999</v>
      </c>
      <c r="Q141" s="355"/>
      <c r="R141" s="355">
        <v>35</v>
      </c>
      <c r="S141" s="355" t="s">
        <v>576</v>
      </c>
      <c r="T141" s="355" t="s">
        <v>612</v>
      </c>
      <c r="U141" s="355">
        <f t="shared" si="26"/>
        <v>0</v>
      </c>
      <c r="V141" s="355"/>
      <c r="W141" s="360" t="str">
        <f>IF(U141=0,"",COUNTIF(W$27:W140,"&gt;0")+1)</f>
        <v/>
      </c>
      <c r="X141" s="360" t="str">
        <f>IF(U141=0,"",COUNTIF(X$27:X140,"&gt;0")+1)</f>
        <v/>
      </c>
      <c r="Y141" s="355"/>
      <c r="Z141" s="359" t="str">
        <f t="shared" si="27"/>
        <v/>
      </c>
      <c r="AA141" s="359" t="str">
        <f t="shared" si="28"/>
        <v/>
      </c>
      <c r="AB141" s="359" t="str">
        <f t="shared" si="29"/>
        <v/>
      </c>
      <c r="AC141" s="355">
        <v>2.1000000000000001E-2</v>
      </c>
      <c r="AD141" s="355" t="str">
        <f t="shared" si="30"/>
        <v>YES</v>
      </c>
      <c r="AE141" s="355" t="str">
        <f t="shared" si="31"/>
        <v/>
      </c>
      <c r="AF141" s="355" t="str">
        <f t="shared" si="32"/>
        <v/>
      </c>
      <c r="AG141" s="355" t="str">
        <f t="shared" si="33"/>
        <v/>
      </c>
      <c r="AH141" s="355">
        <f t="shared" si="34"/>
        <v>0</v>
      </c>
      <c r="AI141" s="355"/>
      <c r="AJ141" s="219"/>
      <c r="AK141" s="219"/>
      <c r="AL141" s="219"/>
      <c r="AM141" s="399"/>
      <c r="AN141" s="399"/>
      <c r="AO141" s="399"/>
      <c r="AP141" s="399"/>
    </row>
    <row r="142" spans="1:42" hidden="1" x14ac:dyDescent="0.25">
      <c r="A142" s="330"/>
      <c r="B142" s="48" t="s">
        <v>168</v>
      </c>
      <c r="C142" s="78" t="s">
        <v>55</v>
      </c>
      <c r="D142" s="79"/>
      <c r="E142" s="80" t="s">
        <v>56</v>
      </c>
      <c r="F142" s="180" t="s">
        <v>399</v>
      </c>
      <c r="G142" s="176">
        <v>8712044889382</v>
      </c>
      <c r="H142" s="19">
        <v>3</v>
      </c>
      <c r="I142" s="13">
        <v>1</v>
      </c>
      <c r="J142" s="15" t="s">
        <v>57</v>
      </c>
      <c r="K142" s="5" t="s">
        <v>26</v>
      </c>
      <c r="L142" s="200"/>
      <c r="M142" s="357" t="s">
        <v>19</v>
      </c>
      <c r="N142" s="355" t="s">
        <v>823</v>
      </c>
      <c r="O142" s="355">
        <v>88</v>
      </c>
      <c r="P142" s="355">
        <v>0.14199999999999999</v>
      </c>
      <c r="Q142" s="355"/>
      <c r="R142" s="355">
        <v>35</v>
      </c>
      <c r="S142" s="355" t="s">
        <v>576</v>
      </c>
      <c r="T142" s="355" t="s">
        <v>612</v>
      </c>
      <c r="U142" s="355">
        <f t="shared" si="26"/>
        <v>0</v>
      </c>
      <c r="V142" s="355"/>
      <c r="W142" s="360" t="str">
        <f>IF(U142=0,"",COUNTIF(W$27:W141,"&gt;0")+1)</f>
        <v/>
      </c>
      <c r="X142" s="360" t="str">
        <f>IF(U142=0,"",COUNTIF(X$27:X141,"&gt;0")+1)</f>
        <v/>
      </c>
      <c r="Y142" s="355"/>
      <c r="Z142" s="359">
        <f t="shared" si="27"/>
        <v>5.5220000000000002</v>
      </c>
      <c r="AA142" s="359">
        <f t="shared" si="28"/>
        <v>5.5220000000000002</v>
      </c>
      <c r="AB142" s="359" t="str">
        <f t="shared" si="29"/>
        <v/>
      </c>
      <c r="AC142" s="355">
        <v>2.1999999999999999E-2</v>
      </c>
      <c r="AD142" s="355" t="str">
        <f t="shared" si="30"/>
        <v/>
      </c>
      <c r="AE142" s="355">
        <f t="shared" si="31"/>
        <v>13</v>
      </c>
      <c r="AF142" s="355">
        <f t="shared" si="32"/>
        <v>13</v>
      </c>
      <c r="AG142" s="355" t="str">
        <f t="shared" si="33"/>
        <v/>
      </c>
      <c r="AH142" s="355">
        <f t="shared" si="34"/>
        <v>0</v>
      </c>
      <c r="AI142" s="355"/>
      <c r="AJ142" s="219"/>
      <c r="AK142" s="219"/>
      <c r="AL142" s="219"/>
      <c r="AM142" s="399"/>
      <c r="AN142" s="399"/>
      <c r="AO142" s="399"/>
      <c r="AP142" s="399"/>
    </row>
    <row r="143" spans="1:42" hidden="1" x14ac:dyDescent="0.25">
      <c r="A143" s="330"/>
      <c r="B143" s="48" t="s">
        <v>168</v>
      </c>
      <c r="C143" s="78" t="s">
        <v>58</v>
      </c>
      <c r="D143" s="79"/>
      <c r="E143" s="80" t="s">
        <v>59</v>
      </c>
      <c r="F143" s="180" t="s">
        <v>399</v>
      </c>
      <c r="G143" s="176">
        <v>8712044889399</v>
      </c>
      <c r="H143" s="18">
        <v>2</v>
      </c>
      <c r="I143" s="18">
        <v>2</v>
      </c>
      <c r="J143" s="15" t="s">
        <v>60</v>
      </c>
      <c r="K143" s="5" t="s">
        <v>26</v>
      </c>
      <c r="L143" s="200"/>
      <c r="M143" s="356" t="s">
        <v>30</v>
      </c>
      <c r="N143" s="355" t="s">
        <v>824</v>
      </c>
      <c r="O143" s="355"/>
      <c r="P143" s="355">
        <v>0.14199999999999999</v>
      </c>
      <c r="Q143" s="355"/>
      <c r="R143" s="355">
        <v>35</v>
      </c>
      <c r="S143" s="355" t="s">
        <v>576</v>
      </c>
      <c r="T143" s="355" t="s">
        <v>612</v>
      </c>
      <c r="U143" s="355">
        <f t="shared" si="26"/>
        <v>0</v>
      </c>
      <c r="V143" s="355"/>
      <c r="W143" s="360" t="str">
        <f>IF(U143=0,"",COUNTIF(W$27:W142,"&gt;0")+1)</f>
        <v/>
      </c>
      <c r="X143" s="360" t="str">
        <f>IF(U143=0,"",COUNTIF(X$27:X142,"&gt;0")+1)</f>
        <v/>
      </c>
      <c r="Y143" s="355"/>
      <c r="Z143" s="359" t="str">
        <f t="shared" si="27"/>
        <v/>
      </c>
      <c r="AA143" s="359" t="str">
        <f t="shared" si="28"/>
        <v/>
      </c>
      <c r="AB143" s="359" t="str">
        <f t="shared" si="29"/>
        <v/>
      </c>
      <c r="AC143" s="355">
        <v>2.3E-2</v>
      </c>
      <c r="AD143" s="355" t="str">
        <f t="shared" si="30"/>
        <v>YES</v>
      </c>
      <c r="AE143" s="355" t="str">
        <f t="shared" si="31"/>
        <v/>
      </c>
      <c r="AF143" s="355" t="str">
        <f t="shared" si="32"/>
        <v/>
      </c>
      <c r="AG143" s="355" t="str">
        <f t="shared" si="33"/>
        <v/>
      </c>
      <c r="AH143" s="355">
        <f t="shared" si="34"/>
        <v>0</v>
      </c>
      <c r="AI143" s="355"/>
      <c r="AJ143" s="219"/>
      <c r="AK143" s="219"/>
      <c r="AL143" s="219"/>
      <c r="AM143" s="399"/>
      <c r="AN143" s="399"/>
      <c r="AO143" s="399"/>
      <c r="AP143" s="399"/>
    </row>
    <row r="144" spans="1:42" hidden="1" x14ac:dyDescent="0.25">
      <c r="A144" s="330"/>
      <c r="B144" s="48" t="s">
        <v>168</v>
      </c>
      <c r="C144" s="45" t="s">
        <v>180</v>
      </c>
      <c r="D144" s="79"/>
      <c r="E144" s="80" t="s">
        <v>61</v>
      </c>
      <c r="F144" s="180" t="s">
        <v>399</v>
      </c>
      <c r="G144" s="176">
        <v>8712044889412</v>
      </c>
      <c r="H144" s="13">
        <v>1</v>
      </c>
      <c r="I144" s="13">
        <v>1</v>
      </c>
      <c r="J144" s="15" t="s">
        <v>181</v>
      </c>
      <c r="K144" s="5" t="s">
        <v>26</v>
      </c>
      <c r="L144" s="200"/>
      <c r="M144" s="356" t="s">
        <v>30</v>
      </c>
      <c r="N144" s="355" t="s">
        <v>825</v>
      </c>
      <c r="O144" s="355"/>
      <c r="P144" s="355">
        <v>0.14199999999999999</v>
      </c>
      <c r="Q144" s="355"/>
      <c r="R144" s="355">
        <v>35</v>
      </c>
      <c r="S144" s="355" t="s">
        <v>576</v>
      </c>
      <c r="T144" s="355" t="s">
        <v>612</v>
      </c>
      <c r="U144" s="355">
        <f t="shared" si="26"/>
        <v>0</v>
      </c>
      <c r="V144" s="355"/>
      <c r="W144" s="360" t="str">
        <f>IF(U144=0,"",COUNTIF(W$27:W143,"&gt;0")+1)</f>
        <v/>
      </c>
      <c r="X144" s="360" t="str">
        <f>IF(U144=0,"",COUNTIF(X$27:X143,"&gt;0")+1)</f>
        <v/>
      </c>
      <c r="Y144" s="355"/>
      <c r="Z144" s="359" t="str">
        <f t="shared" si="27"/>
        <v/>
      </c>
      <c r="AA144" s="359" t="str">
        <f t="shared" si="28"/>
        <v/>
      </c>
      <c r="AB144" s="359" t="str">
        <f t="shared" si="29"/>
        <v/>
      </c>
      <c r="AC144" s="355">
        <v>2.4E-2</v>
      </c>
      <c r="AD144" s="355" t="str">
        <f t="shared" si="30"/>
        <v>YES</v>
      </c>
      <c r="AE144" s="355" t="str">
        <f t="shared" si="31"/>
        <v/>
      </c>
      <c r="AF144" s="355" t="str">
        <f t="shared" si="32"/>
        <v/>
      </c>
      <c r="AG144" s="355" t="str">
        <f t="shared" si="33"/>
        <v/>
      </c>
      <c r="AH144" s="355">
        <f t="shared" si="34"/>
        <v>0</v>
      </c>
      <c r="AI144" s="355"/>
      <c r="AJ144" s="219"/>
      <c r="AK144" s="219"/>
      <c r="AL144" s="219"/>
      <c r="AM144" s="399"/>
      <c r="AN144" s="399"/>
      <c r="AO144" s="399"/>
      <c r="AP144" s="399"/>
    </row>
    <row r="145" spans="1:42" hidden="1" x14ac:dyDescent="0.25">
      <c r="A145" s="330"/>
      <c r="B145" s="48" t="s">
        <v>168</v>
      </c>
      <c r="C145" s="78" t="s">
        <v>535</v>
      </c>
      <c r="D145" s="79"/>
      <c r="E145" s="80" t="s">
        <v>61</v>
      </c>
      <c r="F145" s="180" t="s">
        <v>399</v>
      </c>
      <c r="G145" s="176">
        <v>8712044889429</v>
      </c>
      <c r="H145" s="13">
        <v>1</v>
      </c>
      <c r="I145" s="13">
        <v>1</v>
      </c>
      <c r="J145" s="15" t="s">
        <v>182</v>
      </c>
      <c r="K145" s="5" t="s">
        <v>26</v>
      </c>
      <c r="L145" s="200"/>
      <c r="M145" s="356" t="s">
        <v>30</v>
      </c>
      <c r="N145" s="355" t="s">
        <v>826</v>
      </c>
      <c r="O145" s="355"/>
      <c r="P145" s="355">
        <v>0.14199999999999999</v>
      </c>
      <c r="Q145" s="355"/>
      <c r="R145" s="355">
        <v>35</v>
      </c>
      <c r="S145" s="355" t="s">
        <v>576</v>
      </c>
      <c r="T145" s="355" t="s">
        <v>612</v>
      </c>
      <c r="U145" s="355">
        <f t="shared" si="26"/>
        <v>0</v>
      </c>
      <c r="V145" s="355"/>
      <c r="W145" s="360" t="str">
        <f>IF(U145=0,"",COUNTIF(W$27:W144,"&gt;0")+1)</f>
        <v/>
      </c>
      <c r="X145" s="360" t="str">
        <f>IF(U145=0,"",COUNTIF(X$27:X144,"&gt;0")+1)</f>
        <v/>
      </c>
      <c r="Y145" s="355"/>
      <c r="Z145" s="359" t="str">
        <f t="shared" si="27"/>
        <v/>
      </c>
      <c r="AA145" s="359" t="str">
        <f t="shared" si="28"/>
        <v/>
      </c>
      <c r="AB145" s="359" t="str">
        <f t="shared" si="29"/>
        <v/>
      </c>
      <c r="AC145" s="355">
        <v>2.5000000000000001E-2</v>
      </c>
      <c r="AD145" s="355" t="str">
        <f t="shared" si="30"/>
        <v>YES</v>
      </c>
      <c r="AE145" s="355" t="str">
        <f t="shared" si="31"/>
        <v/>
      </c>
      <c r="AF145" s="355" t="str">
        <f t="shared" si="32"/>
        <v/>
      </c>
      <c r="AG145" s="355" t="str">
        <f t="shared" si="33"/>
        <v/>
      </c>
      <c r="AH145" s="355">
        <f t="shared" si="34"/>
        <v>0</v>
      </c>
      <c r="AI145" s="355"/>
      <c r="AJ145" s="219"/>
      <c r="AK145" s="219"/>
      <c r="AL145" s="219"/>
      <c r="AM145" s="399"/>
      <c r="AN145" s="399"/>
      <c r="AO145" s="399"/>
      <c r="AP145" s="399"/>
    </row>
    <row r="146" spans="1:42" hidden="1" x14ac:dyDescent="0.25">
      <c r="A146" s="330"/>
      <c r="B146" s="48" t="s">
        <v>168</v>
      </c>
      <c r="C146" s="153" t="s">
        <v>547</v>
      </c>
      <c r="D146" s="79"/>
      <c r="E146" s="80" t="s">
        <v>360</v>
      </c>
      <c r="F146" s="180" t="s">
        <v>400</v>
      </c>
      <c r="G146" s="177">
        <v>8719743711433</v>
      </c>
      <c r="H146" s="13">
        <v>1</v>
      </c>
      <c r="I146" s="18">
        <v>2</v>
      </c>
      <c r="J146" s="52" t="s">
        <v>362</v>
      </c>
      <c r="K146" s="5" t="s">
        <v>26</v>
      </c>
      <c r="L146" s="200"/>
      <c r="M146" s="356" t="s">
        <v>30</v>
      </c>
      <c r="N146" s="355" t="s">
        <v>827</v>
      </c>
      <c r="O146" s="355"/>
      <c r="P146" s="355">
        <v>0.14199999999999999</v>
      </c>
      <c r="Q146" s="355"/>
      <c r="R146" s="355">
        <v>35</v>
      </c>
      <c r="S146" s="355" t="s">
        <v>576</v>
      </c>
      <c r="T146" s="355" t="s">
        <v>612</v>
      </c>
      <c r="U146" s="355">
        <f t="shared" si="26"/>
        <v>0</v>
      </c>
      <c r="V146" s="355"/>
      <c r="W146" s="360" t="str">
        <f>IF(U146=0,"",COUNTIF(W$27:W145,"&gt;0")+1)</f>
        <v/>
      </c>
      <c r="X146" s="360" t="str">
        <f>IF(U146=0,"",COUNTIF(X$27:X145,"&gt;0")+1)</f>
        <v/>
      </c>
      <c r="Y146" s="355"/>
      <c r="Z146" s="359" t="str">
        <f t="shared" si="27"/>
        <v/>
      </c>
      <c r="AA146" s="359" t="str">
        <f t="shared" si="28"/>
        <v/>
      </c>
      <c r="AB146" s="359" t="str">
        <f t="shared" si="29"/>
        <v/>
      </c>
      <c r="AC146" s="355">
        <v>2.5999999999999999E-2</v>
      </c>
      <c r="AD146" s="355" t="str">
        <f t="shared" si="30"/>
        <v>YES</v>
      </c>
      <c r="AE146" s="355" t="str">
        <f t="shared" si="31"/>
        <v/>
      </c>
      <c r="AF146" s="355" t="str">
        <f t="shared" si="32"/>
        <v/>
      </c>
      <c r="AG146" s="355" t="str">
        <f t="shared" si="33"/>
        <v/>
      </c>
      <c r="AH146" s="355">
        <f t="shared" si="34"/>
        <v>0</v>
      </c>
      <c r="AI146" s="355"/>
      <c r="AJ146" s="219"/>
      <c r="AK146" s="219"/>
      <c r="AL146" s="219"/>
      <c r="AM146" s="399"/>
      <c r="AN146" s="399"/>
      <c r="AO146" s="399"/>
      <c r="AP146" s="399"/>
    </row>
    <row r="147" spans="1:42" hidden="1" x14ac:dyDescent="0.25">
      <c r="A147" s="330"/>
      <c r="B147" s="48" t="s">
        <v>168</v>
      </c>
      <c r="C147" s="151" t="s">
        <v>538</v>
      </c>
      <c r="D147" s="79"/>
      <c r="E147" s="80" t="s">
        <v>360</v>
      </c>
      <c r="F147" s="180" t="s">
        <v>400</v>
      </c>
      <c r="G147" s="177">
        <v>8719743711440</v>
      </c>
      <c r="H147" s="13">
        <v>1</v>
      </c>
      <c r="I147" s="13">
        <v>1</v>
      </c>
      <c r="J147" s="52" t="s">
        <v>363</v>
      </c>
      <c r="K147" s="5" t="s">
        <v>26</v>
      </c>
      <c r="L147" s="200"/>
      <c r="M147" s="356" t="s">
        <v>30</v>
      </c>
      <c r="N147" s="355" t="s">
        <v>828</v>
      </c>
      <c r="O147" s="355"/>
      <c r="P147" s="355">
        <v>0.14199999999999999</v>
      </c>
      <c r="Q147" s="355"/>
      <c r="R147" s="355">
        <v>35</v>
      </c>
      <c r="S147" s="355" t="s">
        <v>576</v>
      </c>
      <c r="T147" s="355" t="s">
        <v>612</v>
      </c>
      <c r="U147" s="355">
        <f t="shared" si="26"/>
        <v>0</v>
      </c>
      <c r="V147" s="355"/>
      <c r="W147" s="360" t="str">
        <f>IF(U147=0,"",COUNTIF(W$27:W146,"&gt;0")+1)</f>
        <v/>
      </c>
      <c r="X147" s="360" t="str">
        <f>IF(U147=0,"",COUNTIF(X$27:X146,"&gt;0")+1)</f>
        <v/>
      </c>
      <c r="Y147" s="355"/>
      <c r="Z147" s="359" t="str">
        <f t="shared" si="27"/>
        <v/>
      </c>
      <c r="AA147" s="359" t="str">
        <f t="shared" si="28"/>
        <v/>
      </c>
      <c r="AB147" s="359" t="str">
        <f t="shared" si="29"/>
        <v/>
      </c>
      <c r="AC147" s="355">
        <v>2.7E-2</v>
      </c>
      <c r="AD147" s="355" t="str">
        <f t="shared" si="30"/>
        <v>YES</v>
      </c>
      <c r="AE147" s="355" t="str">
        <f t="shared" si="31"/>
        <v/>
      </c>
      <c r="AF147" s="355" t="str">
        <f t="shared" si="32"/>
        <v/>
      </c>
      <c r="AG147" s="355" t="str">
        <f t="shared" si="33"/>
        <v/>
      </c>
      <c r="AH147" s="355">
        <f t="shared" si="34"/>
        <v>0</v>
      </c>
      <c r="AI147" s="355"/>
      <c r="AJ147" s="219"/>
      <c r="AK147" s="219"/>
      <c r="AL147" s="219"/>
      <c r="AM147" s="399"/>
      <c r="AN147" s="399"/>
      <c r="AO147" s="399"/>
      <c r="AP147" s="399"/>
    </row>
    <row r="148" spans="1:42" hidden="1" x14ac:dyDescent="0.25">
      <c r="A148" s="330"/>
      <c r="B148" s="48" t="s">
        <v>168</v>
      </c>
      <c r="C148" s="78" t="s">
        <v>537</v>
      </c>
      <c r="D148" s="79"/>
      <c r="E148" s="80" t="s">
        <v>183</v>
      </c>
      <c r="F148" s="180" t="s">
        <v>399</v>
      </c>
      <c r="G148" s="176">
        <v>8712815756073</v>
      </c>
      <c r="H148" s="13">
        <v>1</v>
      </c>
      <c r="I148" s="18">
        <v>2</v>
      </c>
      <c r="J148" s="15" t="s">
        <v>66</v>
      </c>
      <c r="K148" s="5" t="s">
        <v>26</v>
      </c>
      <c r="L148" s="200"/>
      <c r="M148" s="356" t="s">
        <v>30</v>
      </c>
      <c r="N148" s="355" t="s">
        <v>829</v>
      </c>
      <c r="O148" s="355"/>
      <c r="P148" s="355">
        <v>0.14199999999999999</v>
      </c>
      <c r="Q148" s="355"/>
      <c r="R148" s="355">
        <v>35</v>
      </c>
      <c r="S148" s="355" t="s">
        <v>576</v>
      </c>
      <c r="T148" s="355" t="s">
        <v>612</v>
      </c>
      <c r="U148" s="355">
        <f t="shared" si="26"/>
        <v>0</v>
      </c>
      <c r="V148" s="355"/>
      <c r="W148" s="360" t="str">
        <f>IF(U148=0,"",COUNTIF(W$27:W147,"&gt;0")+1)</f>
        <v/>
      </c>
      <c r="X148" s="360" t="str">
        <f>IF(U148=0,"",COUNTIF(X$27:X147,"&gt;0")+1)</f>
        <v/>
      </c>
      <c r="Y148" s="355"/>
      <c r="Z148" s="359" t="str">
        <f t="shared" si="27"/>
        <v/>
      </c>
      <c r="AA148" s="359" t="str">
        <f t="shared" si="28"/>
        <v/>
      </c>
      <c r="AB148" s="359" t="str">
        <f t="shared" si="29"/>
        <v/>
      </c>
      <c r="AC148" s="355">
        <v>2.8000000000000001E-2</v>
      </c>
      <c r="AD148" s="355" t="str">
        <f t="shared" si="30"/>
        <v>YES</v>
      </c>
      <c r="AE148" s="355" t="str">
        <f t="shared" si="31"/>
        <v/>
      </c>
      <c r="AF148" s="355" t="str">
        <f t="shared" si="32"/>
        <v/>
      </c>
      <c r="AG148" s="355" t="str">
        <f t="shared" si="33"/>
        <v/>
      </c>
      <c r="AH148" s="355">
        <f t="shared" si="34"/>
        <v>0</v>
      </c>
      <c r="AI148" s="355"/>
      <c r="AJ148" s="219"/>
      <c r="AK148" s="219"/>
      <c r="AL148" s="219"/>
      <c r="AM148" s="399"/>
      <c r="AN148" s="399"/>
      <c r="AO148" s="399"/>
      <c r="AP148" s="399"/>
    </row>
    <row r="149" spans="1:42" hidden="1" x14ac:dyDescent="0.25">
      <c r="A149" s="330"/>
      <c r="B149" s="48" t="s">
        <v>168</v>
      </c>
      <c r="C149" s="78" t="s">
        <v>536</v>
      </c>
      <c r="D149" s="79"/>
      <c r="E149" s="80" t="s">
        <v>466</v>
      </c>
      <c r="F149" s="180" t="s">
        <v>400</v>
      </c>
      <c r="G149" s="176">
        <v>8712815756301</v>
      </c>
      <c r="H149" s="18">
        <v>2</v>
      </c>
      <c r="I149" s="18">
        <v>2</v>
      </c>
      <c r="J149" s="15" t="s">
        <v>66</v>
      </c>
      <c r="K149" s="5" t="s">
        <v>26</v>
      </c>
      <c r="L149" s="200"/>
      <c r="M149" s="356" t="s">
        <v>30</v>
      </c>
      <c r="N149" s="355" t="s">
        <v>830</v>
      </c>
      <c r="O149" s="355"/>
      <c r="P149" s="355">
        <v>0.14199999999999999</v>
      </c>
      <c r="Q149" s="355"/>
      <c r="R149" s="355">
        <v>35</v>
      </c>
      <c r="S149" s="355" t="s">
        <v>576</v>
      </c>
      <c r="T149" s="355" t="s">
        <v>612</v>
      </c>
      <c r="U149" s="355">
        <f t="shared" si="26"/>
        <v>0</v>
      </c>
      <c r="V149" s="355"/>
      <c r="W149" s="360" t="str">
        <f>IF(U149=0,"",COUNTIF(W$27:W148,"&gt;0")+1)</f>
        <v/>
      </c>
      <c r="X149" s="360" t="str">
        <f>IF(U149=0,"",COUNTIF(X$27:X148,"&gt;0")+1)</f>
        <v/>
      </c>
      <c r="Y149" s="355"/>
      <c r="Z149" s="359" t="str">
        <f t="shared" si="27"/>
        <v/>
      </c>
      <c r="AA149" s="359" t="str">
        <f t="shared" si="28"/>
        <v/>
      </c>
      <c r="AB149" s="359" t="str">
        <f t="shared" si="29"/>
        <v/>
      </c>
      <c r="AC149" s="355">
        <v>2.9000000000000001E-2</v>
      </c>
      <c r="AD149" s="355" t="str">
        <f t="shared" si="30"/>
        <v>YES</v>
      </c>
      <c r="AE149" s="355" t="str">
        <f t="shared" si="31"/>
        <v/>
      </c>
      <c r="AF149" s="355" t="str">
        <f t="shared" si="32"/>
        <v/>
      </c>
      <c r="AG149" s="355" t="str">
        <f t="shared" si="33"/>
        <v/>
      </c>
      <c r="AH149" s="355">
        <f t="shared" si="34"/>
        <v>0</v>
      </c>
      <c r="AI149" s="355"/>
      <c r="AJ149" s="219"/>
      <c r="AK149" s="219"/>
      <c r="AL149" s="219"/>
      <c r="AM149" s="399"/>
      <c r="AN149" s="399"/>
      <c r="AO149" s="399"/>
      <c r="AP149" s="399"/>
    </row>
    <row r="150" spans="1:42" hidden="1" x14ac:dyDescent="0.25">
      <c r="A150" s="330"/>
      <c r="B150" s="48" t="s">
        <v>168</v>
      </c>
      <c r="C150" s="78" t="s">
        <v>184</v>
      </c>
      <c r="D150" s="79"/>
      <c r="E150" s="80" t="s">
        <v>183</v>
      </c>
      <c r="F150" s="180" t="s">
        <v>400</v>
      </c>
      <c r="G150" s="176">
        <v>8712815756516</v>
      </c>
      <c r="H150" s="13">
        <v>1</v>
      </c>
      <c r="I150" s="13">
        <v>1</v>
      </c>
      <c r="J150" s="15" t="s">
        <v>185</v>
      </c>
      <c r="K150" s="5" t="s">
        <v>13</v>
      </c>
      <c r="L150" s="200"/>
      <c r="M150" s="356" t="s">
        <v>30</v>
      </c>
      <c r="N150" s="355" t="s">
        <v>831</v>
      </c>
      <c r="O150" s="355"/>
      <c r="P150" s="355">
        <v>0.14199999999999999</v>
      </c>
      <c r="Q150" s="355"/>
      <c r="R150" s="355">
        <v>35</v>
      </c>
      <c r="S150" s="355" t="s">
        <v>576</v>
      </c>
      <c r="T150" s="355" t="s">
        <v>612</v>
      </c>
      <c r="U150" s="355">
        <f t="shared" si="26"/>
        <v>0</v>
      </c>
      <c r="V150" s="355"/>
      <c r="W150" s="360" t="str">
        <f>IF(U150=0,"",COUNTIF(W$27:W149,"&gt;0")+1)</f>
        <v/>
      </c>
      <c r="X150" s="360" t="str">
        <f>IF(U150=0,"",COUNTIF(X$27:X149,"&gt;0")+1)</f>
        <v/>
      </c>
      <c r="Y150" s="355"/>
      <c r="Z150" s="359" t="str">
        <f t="shared" si="27"/>
        <v/>
      </c>
      <c r="AA150" s="359" t="str">
        <f t="shared" si="28"/>
        <v/>
      </c>
      <c r="AB150" s="359" t="str">
        <f t="shared" si="29"/>
        <v/>
      </c>
      <c r="AC150" s="355">
        <v>0.03</v>
      </c>
      <c r="AD150" s="355" t="str">
        <f t="shared" si="30"/>
        <v>YES</v>
      </c>
      <c r="AE150" s="355" t="str">
        <f t="shared" si="31"/>
        <v/>
      </c>
      <c r="AF150" s="355" t="str">
        <f t="shared" si="32"/>
        <v/>
      </c>
      <c r="AG150" s="355" t="str">
        <f t="shared" si="33"/>
        <v/>
      </c>
      <c r="AH150" s="355">
        <f t="shared" si="34"/>
        <v>0</v>
      </c>
      <c r="AI150" s="355"/>
      <c r="AJ150" s="219"/>
      <c r="AK150" s="219"/>
      <c r="AL150" s="219"/>
      <c r="AM150" s="399"/>
      <c r="AN150" s="399"/>
      <c r="AO150" s="399"/>
      <c r="AP150" s="399"/>
    </row>
    <row r="151" spans="1:42" hidden="1" x14ac:dyDescent="0.25">
      <c r="A151" s="330"/>
      <c r="B151" s="48" t="s">
        <v>168</v>
      </c>
      <c r="C151" s="78" t="s">
        <v>69</v>
      </c>
      <c r="D151" s="79"/>
      <c r="E151" s="80" t="s">
        <v>70</v>
      </c>
      <c r="F151" s="180" t="s">
        <v>399</v>
      </c>
      <c r="G151" s="176">
        <v>8712044889443</v>
      </c>
      <c r="H151" s="13">
        <v>1</v>
      </c>
      <c r="I151" s="13">
        <v>1</v>
      </c>
      <c r="J151" s="15" t="s">
        <v>71</v>
      </c>
      <c r="K151" s="5" t="s">
        <v>13</v>
      </c>
      <c r="L151" s="200" t="s">
        <v>23</v>
      </c>
      <c r="M151" s="357" t="s">
        <v>19</v>
      </c>
      <c r="N151" s="355" t="s">
        <v>832</v>
      </c>
      <c r="O151" s="355">
        <v>89</v>
      </c>
      <c r="P151" s="355">
        <v>0.14199999999999999</v>
      </c>
      <c r="Q151" s="355"/>
      <c r="R151" s="355">
        <v>35</v>
      </c>
      <c r="S151" s="355" t="s">
        <v>576</v>
      </c>
      <c r="T151" s="355" t="s">
        <v>612</v>
      </c>
      <c r="U151" s="355">
        <f t="shared" si="26"/>
        <v>0</v>
      </c>
      <c r="V151" s="355"/>
      <c r="W151" s="360" t="str">
        <f>IF(U151=0,"",COUNTIF(W$27:W150,"&gt;0")+1)</f>
        <v/>
      </c>
      <c r="X151" s="360" t="str">
        <f>IF(U151=0,"",COUNTIF(X$27:X150,"&gt;0")+1)</f>
        <v/>
      </c>
      <c r="Y151" s="355"/>
      <c r="Z151" s="359">
        <f t="shared" si="27"/>
        <v>2.5310000000000001</v>
      </c>
      <c r="AA151" s="359">
        <f t="shared" si="28"/>
        <v>2.5310000000000001</v>
      </c>
      <c r="AB151" s="359" t="str">
        <f t="shared" si="29"/>
        <v/>
      </c>
      <c r="AC151" s="355">
        <v>3.1E-2</v>
      </c>
      <c r="AD151" s="355" t="str">
        <f t="shared" si="30"/>
        <v/>
      </c>
      <c r="AE151" s="355">
        <f t="shared" si="31"/>
        <v>1</v>
      </c>
      <c r="AF151" s="355">
        <f t="shared" si="32"/>
        <v>1</v>
      </c>
      <c r="AG151" s="355" t="str">
        <f t="shared" si="33"/>
        <v/>
      </c>
      <c r="AH151" s="355">
        <f t="shared" si="34"/>
        <v>0</v>
      </c>
      <c r="AI151" s="355"/>
      <c r="AJ151" s="219"/>
      <c r="AK151" s="219"/>
      <c r="AL151" s="219"/>
      <c r="AM151" s="399"/>
      <c r="AN151" s="399"/>
      <c r="AO151" s="399"/>
      <c r="AP151" s="399"/>
    </row>
    <row r="152" spans="1:42" hidden="1" x14ac:dyDescent="0.25">
      <c r="A152" s="330"/>
      <c r="B152" s="48" t="s">
        <v>168</v>
      </c>
      <c r="C152" s="78" t="s">
        <v>186</v>
      </c>
      <c r="D152" s="79"/>
      <c r="E152" s="86" t="s">
        <v>187</v>
      </c>
      <c r="F152" s="187" t="s">
        <v>400</v>
      </c>
      <c r="G152" s="176">
        <v>8719743712775</v>
      </c>
      <c r="H152" s="13">
        <v>1</v>
      </c>
      <c r="I152" s="18">
        <v>2</v>
      </c>
      <c r="J152" s="15" t="s">
        <v>188</v>
      </c>
      <c r="K152" s="5" t="s">
        <v>13</v>
      </c>
      <c r="L152" s="200"/>
      <c r="M152" s="356" t="s">
        <v>30</v>
      </c>
      <c r="N152" s="355" t="s">
        <v>833</v>
      </c>
      <c r="O152" s="355"/>
      <c r="P152" s="355">
        <v>0.14199999999999999</v>
      </c>
      <c r="Q152" s="355"/>
      <c r="R152" s="355">
        <v>35</v>
      </c>
      <c r="S152" s="355" t="s">
        <v>576</v>
      </c>
      <c r="T152" s="355" t="s">
        <v>612</v>
      </c>
      <c r="U152" s="355">
        <f t="shared" si="26"/>
        <v>0</v>
      </c>
      <c r="V152" s="355"/>
      <c r="W152" s="360" t="str">
        <f>IF(U152=0,"",COUNTIF(W$27:W151,"&gt;0")+1)</f>
        <v/>
      </c>
      <c r="X152" s="360" t="str">
        <f>IF(U152=0,"",COUNTIF(X$27:X151,"&gt;0")+1)</f>
        <v/>
      </c>
      <c r="Y152" s="355"/>
      <c r="Z152" s="359" t="str">
        <f t="shared" si="27"/>
        <v/>
      </c>
      <c r="AA152" s="359" t="str">
        <f t="shared" si="28"/>
        <v/>
      </c>
      <c r="AB152" s="359" t="str">
        <f t="shared" si="29"/>
        <v/>
      </c>
      <c r="AC152" s="355">
        <v>3.2000000000000001E-2</v>
      </c>
      <c r="AD152" s="355" t="str">
        <f t="shared" si="30"/>
        <v>YES</v>
      </c>
      <c r="AE152" s="355" t="str">
        <f t="shared" si="31"/>
        <v/>
      </c>
      <c r="AF152" s="355" t="str">
        <f t="shared" si="32"/>
        <v/>
      </c>
      <c r="AG152" s="355" t="str">
        <f t="shared" si="33"/>
        <v/>
      </c>
      <c r="AH152" s="355">
        <f t="shared" si="34"/>
        <v>0</v>
      </c>
      <c r="AI152" s="355"/>
      <c r="AJ152" s="219"/>
      <c r="AK152" s="219"/>
      <c r="AL152" s="219"/>
      <c r="AM152" s="399"/>
      <c r="AN152" s="399"/>
      <c r="AO152" s="399"/>
      <c r="AP152" s="399"/>
    </row>
    <row r="153" spans="1:42" hidden="1" x14ac:dyDescent="0.25">
      <c r="A153" s="330"/>
      <c r="B153" s="48" t="s">
        <v>168</v>
      </c>
      <c r="C153" s="78" t="s">
        <v>189</v>
      </c>
      <c r="D153" s="79"/>
      <c r="E153" s="80" t="s">
        <v>190</v>
      </c>
      <c r="F153" s="180" t="s">
        <v>400</v>
      </c>
      <c r="G153" s="176">
        <v>8719743712782</v>
      </c>
      <c r="H153" s="13">
        <v>1</v>
      </c>
      <c r="I153" s="13">
        <v>1</v>
      </c>
      <c r="J153" s="15" t="s">
        <v>191</v>
      </c>
      <c r="K153" s="5" t="s">
        <v>13</v>
      </c>
      <c r="L153" s="200"/>
      <c r="M153" s="356" t="s">
        <v>30</v>
      </c>
      <c r="N153" s="355" t="s">
        <v>834</v>
      </c>
      <c r="O153" s="355"/>
      <c r="P153" s="355">
        <v>0.14199999999999999</v>
      </c>
      <c r="Q153" s="355"/>
      <c r="R153" s="355">
        <v>35</v>
      </c>
      <c r="S153" s="355" t="s">
        <v>576</v>
      </c>
      <c r="T153" s="355" t="s">
        <v>612</v>
      </c>
      <c r="U153" s="355">
        <f t="shared" si="26"/>
        <v>0</v>
      </c>
      <c r="V153" s="355"/>
      <c r="W153" s="360" t="str">
        <f>IF(U153=0,"",COUNTIF(W$27:W152,"&gt;0")+1)</f>
        <v/>
      </c>
      <c r="X153" s="360" t="str">
        <f>IF(U153=0,"",COUNTIF(X$27:X152,"&gt;0")+1)</f>
        <v/>
      </c>
      <c r="Y153" s="355"/>
      <c r="Z153" s="359" t="str">
        <f t="shared" si="27"/>
        <v/>
      </c>
      <c r="AA153" s="359" t="str">
        <f t="shared" si="28"/>
        <v/>
      </c>
      <c r="AB153" s="359" t="str">
        <f t="shared" si="29"/>
        <v/>
      </c>
      <c r="AC153" s="355">
        <v>3.3000000000000002E-2</v>
      </c>
      <c r="AD153" s="355" t="str">
        <f t="shared" si="30"/>
        <v>YES</v>
      </c>
      <c r="AE153" s="355" t="str">
        <f t="shared" si="31"/>
        <v/>
      </c>
      <c r="AF153" s="355" t="str">
        <f t="shared" si="32"/>
        <v/>
      </c>
      <c r="AG153" s="355" t="str">
        <f t="shared" si="33"/>
        <v/>
      </c>
      <c r="AH153" s="355">
        <f t="shared" si="34"/>
        <v>0</v>
      </c>
      <c r="AI153" s="355"/>
      <c r="AJ153" s="219"/>
      <c r="AK153" s="219"/>
      <c r="AL153" s="219"/>
      <c r="AM153" s="399"/>
      <c r="AN153" s="399"/>
      <c r="AO153" s="399"/>
      <c r="AP153" s="399"/>
    </row>
    <row r="154" spans="1:42" hidden="1" x14ac:dyDescent="0.25">
      <c r="A154" s="330"/>
      <c r="B154" s="48" t="s">
        <v>168</v>
      </c>
      <c r="C154" s="154" t="s">
        <v>342</v>
      </c>
      <c r="D154" s="77"/>
      <c r="E154" s="80" t="s">
        <v>463</v>
      </c>
      <c r="F154" s="180" t="s">
        <v>400</v>
      </c>
      <c r="G154" s="176">
        <v>8712044890081</v>
      </c>
      <c r="H154" s="18">
        <v>2</v>
      </c>
      <c r="I154" s="13">
        <v>1</v>
      </c>
      <c r="J154" s="136" t="s">
        <v>366</v>
      </c>
      <c r="K154" s="5" t="s">
        <v>13</v>
      </c>
      <c r="L154" s="200"/>
      <c r="M154" s="356" t="s">
        <v>30</v>
      </c>
      <c r="N154" s="355" t="s">
        <v>835</v>
      </c>
      <c r="O154" s="355"/>
      <c r="P154" s="355">
        <v>0.14199999999999999</v>
      </c>
      <c r="Q154" s="355"/>
      <c r="R154" s="355">
        <v>35</v>
      </c>
      <c r="S154" s="355" t="s">
        <v>576</v>
      </c>
      <c r="T154" s="355" t="s">
        <v>612</v>
      </c>
      <c r="U154" s="355">
        <f t="shared" si="26"/>
        <v>0</v>
      </c>
      <c r="V154" s="355"/>
      <c r="W154" s="360" t="str">
        <f>IF(U154=0,"",COUNTIF(W$27:W153,"&gt;0")+1)</f>
        <v/>
      </c>
      <c r="X154" s="360" t="str">
        <f>IF(U154=0,"",COUNTIF(X$27:X153,"&gt;0")+1)</f>
        <v/>
      </c>
      <c r="Y154" s="355"/>
      <c r="Z154" s="359" t="str">
        <f t="shared" si="27"/>
        <v/>
      </c>
      <c r="AA154" s="359" t="str">
        <f t="shared" si="28"/>
        <v/>
      </c>
      <c r="AB154" s="359" t="str">
        <f t="shared" si="29"/>
        <v/>
      </c>
      <c r="AC154" s="355">
        <v>3.4000000000000002E-2</v>
      </c>
      <c r="AD154" s="355" t="str">
        <f t="shared" si="30"/>
        <v>YES</v>
      </c>
      <c r="AE154" s="355" t="str">
        <f t="shared" si="31"/>
        <v/>
      </c>
      <c r="AF154" s="355" t="str">
        <f t="shared" si="32"/>
        <v/>
      </c>
      <c r="AG154" s="355" t="str">
        <f t="shared" si="33"/>
        <v/>
      </c>
      <c r="AH154" s="355">
        <f t="shared" si="34"/>
        <v>0</v>
      </c>
      <c r="AI154" s="355"/>
      <c r="AJ154" s="219"/>
      <c r="AK154" s="219"/>
      <c r="AL154" s="219"/>
      <c r="AM154" s="399"/>
      <c r="AN154" s="399"/>
      <c r="AO154" s="399"/>
      <c r="AP154" s="399"/>
    </row>
    <row r="155" spans="1:42" hidden="1" x14ac:dyDescent="0.25">
      <c r="A155" s="330"/>
      <c r="B155" s="48" t="s">
        <v>168</v>
      </c>
      <c r="C155" s="78" t="s">
        <v>76</v>
      </c>
      <c r="D155" s="79"/>
      <c r="E155" s="80" t="s">
        <v>77</v>
      </c>
      <c r="F155" s="180" t="s">
        <v>399</v>
      </c>
      <c r="G155" s="176">
        <v>8712044889467</v>
      </c>
      <c r="H155" s="13">
        <v>1</v>
      </c>
      <c r="I155" s="18">
        <v>2</v>
      </c>
      <c r="J155" s="15" t="s">
        <v>78</v>
      </c>
      <c r="K155" s="5" t="s">
        <v>26</v>
      </c>
      <c r="L155" s="200"/>
      <c r="M155" s="357" t="s">
        <v>30</v>
      </c>
      <c r="N155" s="355" t="s">
        <v>836</v>
      </c>
      <c r="O155" s="355"/>
      <c r="P155" s="355">
        <v>0.14199999999999999</v>
      </c>
      <c r="Q155" s="355"/>
      <c r="R155" s="355">
        <v>35</v>
      </c>
      <c r="S155" s="355" t="s">
        <v>576</v>
      </c>
      <c r="T155" s="355" t="s">
        <v>612</v>
      </c>
      <c r="U155" s="355">
        <f t="shared" si="26"/>
        <v>0</v>
      </c>
      <c r="V155" s="355"/>
      <c r="W155" s="360" t="str">
        <f>IF(U155=0,"",COUNTIF(W$27:W154,"&gt;0")+1)</f>
        <v/>
      </c>
      <c r="X155" s="360" t="str">
        <f>IF(U155=0,"",COUNTIF(X$27:X154,"&gt;0")+1)</f>
        <v/>
      </c>
      <c r="Y155" s="355"/>
      <c r="Z155" s="359" t="str">
        <f t="shared" si="27"/>
        <v/>
      </c>
      <c r="AA155" s="359" t="str">
        <f t="shared" si="28"/>
        <v/>
      </c>
      <c r="AB155" s="359" t="str">
        <f t="shared" si="29"/>
        <v/>
      </c>
      <c r="AC155" s="355">
        <v>3.5000000000000003E-2</v>
      </c>
      <c r="AD155" s="355" t="str">
        <f t="shared" si="30"/>
        <v>YES</v>
      </c>
      <c r="AE155" s="355" t="str">
        <f t="shared" si="31"/>
        <v/>
      </c>
      <c r="AF155" s="355" t="str">
        <f t="shared" si="32"/>
        <v/>
      </c>
      <c r="AG155" s="355" t="str">
        <f t="shared" si="33"/>
        <v/>
      </c>
      <c r="AH155" s="355">
        <f t="shared" si="34"/>
        <v>0</v>
      </c>
      <c r="AI155" s="355"/>
      <c r="AJ155" s="219"/>
      <c r="AK155" s="219"/>
      <c r="AL155" s="219"/>
      <c r="AM155" s="399"/>
      <c r="AN155" s="399"/>
      <c r="AO155" s="399"/>
      <c r="AP155" s="399"/>
    </row>
    <row r="156" spans="1:42" hidden="1" x14ac:dyDescent="0.25">
      <c r="A156" s="330"/>
      <c r="B156" s="48" t="s">
        <v>168</v>
      </c>
      <c r="C156" s="78" t="s">
        <v>79</v>
      </c>
      <c r="D156" s="79"/>
      <c r="E156" s="80" t="s">
        <v>80</v>
      </c>
      <c r="F156" s="180" t="s">
        <v>399</v>
      </c>
      <c r="G156" s="176">
        <v>8712044889504</v>
      </c>
      <c r="H156" s="13">
        <v>1</v>
      </c>
      <c r="I156" s="13">
        <v>1</v>
      </c>
      <c r="J156" s="15" t="s">
        <v>81</v>
      </c>
      <c r="K156" s="5" t="s">
        <v>26</v>
      </c>
      <c r="L156" s="200"/>
      <c r="M156" s="357" t="s">
        <v>19</v>
      </c>
      <c r="N156" s="355" t="s">
        <v>837</v>
      </c>
      <c r="O156" s="355">
        <v>90</v>
      </c>
      <c r="P156" s="355">
        <v>0.14199999999999999</v>
      </c>
      <c r="Q156" s="355"/>
      <c r="R156" s="355">
        <v>35</v>
      </c>
      <c r="S156" s="355" t="s">
        <v>576</v>
      </c>
      <c r="T156" s="355" t="s">
        <v>612</v>
      </c>
      <c r="U156" s="355">
        <f t="shared" si="26"/>
        <v>0</v>
      </c>
      <c r="V156" s="355"/>
      <c r="W156" s="360" t="str">
        <f>IF(U156=0,"",COUNTIF(W$27:W155,"&gt;0")+1)</f>
        <v/>
      </c>
      <c r="X156" s="360" t="str">
        <f>IF(U156=0,"",COUNTIF(X$27:X155,"&gt;0")+1)</f>
        <v/>
      </c>
      <c r="Y156" s="355"/>
      <c r="Z156" s="359">
        <f t="shared" si="27"/>
        <v>2.536</v>
      </c>
      <c r="AA156" s="359">
        <f t="shared" si="28"/>
        <v>2.536</v>
      </c>
      <c r="AB156" s="359" t="str">
        <f t="shared" si="29"/>
        <v/>
      </c>
      <c r="AC156" s="355">
        <v>3.5999999999999997E-2</v>
      </c>
      <c r="AD156" s="355" t="str">
        <f t="shared" si="30"/>
        <v/>
      </c>
      <c r="AE156" s="355">
        <f t="shared" si="31"/>
        <v>2</v>
      </c>
      <c r="AF156" s="355">
        <f t="shared" si="32"/>
        <v>2</v>
      </c>
      <c r="AG156" s="355" t="str">
        <f t="shared" si="33"/>
        <v/>
      </c>
      <c r="AH156" s="355">
        <f t="shared" si="34"/>
        <v>0</v>
      </c>
      <c r="AI156" s="355"/>
      <c r="AJ156" s="219"/>
      <c r="AK156" s="219"/>
      <c r="AL156" s="219"/>
      <c r="AM156" s="399"/>
      <c r="AN156" s="399"/>
      <c r="AO156" s="399"/>
      <c r="AP156" s="399"/>
    </row>
    <row r="157" spans="1:42" hidden="1" x14ac:dyDescent="0.25">
      <c r="A157" s="330"/>
      <c r="B157" s="48" t="s">
        <v>168</v>
      </c>
      <c r="C157" s="142" t="s">
        <v>396</v>
      </c>
      <c r="E157" s="137" t="s">
        <v>403</v>
      </c>
      <c r="F157" s="184" t="s">
        <v>399</v>
      </c>
      <c r="G157" s="176">
        <v>8712044889498</v>
      </c>
      <c r="H157" s="19">
        <v>3</v>
      </c>
      <c r="I157" s="18">
        <v>2</v>
      </c>
      <c r="J157" s="141" t="s">
        <v>404</v>
      </c>
      <c r="K157" s="5" t="s">
        <v>26</v>
      </c>
      <c r="L157" s="200" t="s">
        <v>23</v>
      </c>
      <c r="M157" s="357" t="s">
        <v>19</v>
      </c>
      <c r="N157" s="355" t="s">
        <v>838</v>
      </c>
      <c r="O157" s="355">
        <v>91</v>
      </c>
      <c r="P157" s="355">
        <v>0.14199999999999999</v>
      </c>
      <c r="Q157" s="355"/>
      <c r="R157" s="355">
        <v>35</v>
      </c>
      <c r="S157" s="355" t="s">
        <v>576</v>
      </c>
      <c r="T157" s="355" t="s">
        <v>612</v>
      </c>
      <c r="U157" s="355">
        <f t="shared" si="26"/>
        <v>0</v>
      </c>
      <c r="V157" s="355"/>
      <c r="W157" s="360" t="str">
        <f>IF(U157=0,"",COUNTIF(W$27:W156,"&gt;0")+1)</f>
        <v/>
      </c>
      <c r="X157" s="360" t="str">
        <f>IF(U157=0,"",COUNTIF(X$27:X156,"&gt;0")+1)</f>
        <v/>
      </c>
      <c r="Y157" s="355"/>
      <c r="Z157" s="359">
        <f t="shared" si="27"/>
        <v>6.5369999999999999</v>
      </c>
      <c r="AA157" s="359">
        <f t="shared" si="28"/>
        <v>6.5369999999999999</v>
      </c>
      <c r="AB157" s="359" t="str">
        <f t="shared" si="29"/>
        <v/>
      </c>
      <c r="AC157" s="355">
        <v>3.6999999999999998E-2</v>
      </c>
      <c r="AD157" s="355" t="str">
        <f t="shared" si="30"/>
        <v/>
      </c>
      <c r="AE157" s="355">
        <f t="shared" si="31"/>
        <v>16</v>
      </c>
      <c r="AF157" s="355">
        <f t="shared" si="32"/>
        <v>16</v>
      </c>
      <c r="AG157" s="355" t="str">
        <f t="shared" si="33"/>
        <v/>
      </c>
      <c r="AH157" s="355">
        <f t="shared" si="34"/>
        <v>0</v>
      </c>
      <c r="AI157" s="355"/>
      <c r="AJ157" s="219"/>
      <c r="AK157" s="219"/>
      <c r="AL157" s="219"/>
      <c r="AM157" s="399"/>
      <c r="AN157" s="399"/>
      <c r="AO157" s="399"/>
      <c r="AP157" s="399"/>
    </row>
    <row r="158" spans="1:42" hidden="1" x14ac:dyDescent="0.25">
      <c r="A158" s="330"/>
      <c r="B158" s="48" t="s">
        <v>168</v>
      </c>
      <c r="C158" s="78" t="s">
        <v>85</v>
      </c>
      <c r="D158" s="79"/>
      <c r="E158" s="80" t="s">
        <v>192</v>
      </c>
      <c r="F158" s="180" t="s">
        <v>399</v>
      </c>
      <c r="G158" s="176">
        <v>8712044889511</v>
      </c>
      <c r="H158" s="18">
        <v>2</v>
      </c>
      <c r="I158" s="13">
        <v>1</v>
      </c>
      <c r="J158" s="20" t="s">
        <v>87</v>
      </c>
      <c r="K158" s="5" t="s">
        <v>26</v>
      </c>
      <c r="L158" s="200"/>
      <c r="M158" s="356" t="s">
        <v>30</v>
      </c>
      <c r="N158" s="355" t="s">
        <v>839</v>
      </c>
      <c r="O158" s="355"/>
      <c r="P158" s="355">
        <v>0.14199999999999999</v>
      </c>
      <c r="Q158" s="355"/>
      <c r="R158" s="355">
        <v>35</v>
      </c>
      <c r="S158" s="355" t="s">
        <v>576</v>
      </c>
      <c r="T158" s="355" t="s">
        <v>612</v>
      </c>
      <c r="U158" s="355">
        <f t="shared" si="26"/>
        <v>0</v>
      </c>
      <c r="V158" s="355"/>
      <c r="W158" s="360" t="str">
        <f>IF(U158=0,"",COUNTIF(W$27:W157,"&gt;0")+1)</f>
        <v/>
      </c>
      <c r="X158" s="360" t="str">
        <f>IF(U158=0,"",COUNTIF(X$27:X157,"&gt;0")+1)</f>
        <v/>
      </c>
      <c r="Y158" s="355"/>
      <c r="Z158" s="359" t="str">
        <f t="shared" si="27"/>
        <v/>
      </c>
      <c r="AA158" s="359" t="str">
        <f t="shared" si="28"/>
        <v/>
      </c>
      <c r="AB158" s="359" t="str">
        <f t="shared" si="29"/>
        <v/>
      </c>
      <c r="AC158" s="355">
        <v>3.7999999999999999E-2</v>
      </c>
      <c r="AD158" s="355" t="str">
        <f t="shared" si="30"/>
        <v>YES</v>
      </c>
      <c r="AE158" s="355" t="str">
        <f t="shared" si="31"/>
        <v/>
      </c>
      <c r="AF158" s="355" t="str">
        <f t="shared" si="32"/>
        <v/>
      </c>
      <c r="AG158" s="355" t="str">
        <f t="shared" si="33"/>
        <v/>
      </c>
      <c r="AH158" s="355">
        <f t="shared" si="34"/>
        <v>0</v>
      </c>
      <c r="AI158" s="355"/>
      <c r="AJ158" s="219"/>
      <c r="AK158" s="219"/>
      <c r="AL158" s="219"/>
      <c r="AM158" s="399"/>
      <c r="AN158" s="399"/>
      <c r="AO158" s="399"/>
      <c r="AP158" s="399"/>
    </row>
    <row r="159" spans="1:42" hidden="1" x14ac:dyDescent="0.25">
      <c r="A159" s="330"/>
      <c r="B159" s="48" t="s">
        <v>168</v>
      </c>
      <c r="C159" s="79" t="s">
        <v>393</v>
      </c>
      <c r="D159" s="79"/>
      <c r="E159" s="80" t="s">
        <v>193</v>
      </c>
      <c r="F159" s="180" t="s">
        <v>399</v>
      </c>
      <c r="G159" s="176">
        <v>8712044889542</v>
      </c>
      <c r="H159" s="19">
        <v>3</v>
      </c>
      <c r="I159" s="13">
        <v>1</v>
      </c>
      <c r="J159" s="15" t="s">
        <v>194</v>
      </c>
      <c r="K159" s="5" t="s">
        <v>26</v>
      </c>
      <c r="L159" s="200" t="s">
        <v>23</v>
      </c>
      <c r="M159" s="357" t="s">
        <v>19</v>
      </c>
      <c r="N159" s="355" t="s">
        <v>840</v>
      </c>
      <c r="O159" s="355">
        <v>92</v>
      </c>
      <c r="P159" s="355">
        <v>0.14199999999999999</v>
      </c>
      <c r="Q159" s="355"/>
      <c r="R159" s="355">
        <v>35</v>
      </c>
      <c r="S159" s="355" t="s">
        <v>576</v>
      </c>
      <c r="T159" s="355" t="s">
        <v>612</v>
      </c>
      <c r="U159" s="355">
        <f t="shared" si="26"/>
        <v>0</v>
      </c>
      <c r="V159" s="355"/>
      <c r="W159" s="360" t="str">
        <f>IF(U159=0,"",COUNTIF(W$27:W158,"&gt;0")+1)</f>
        <v/>
      </c>
      <c r="X159" s="360" t="str">
        <f>IF(U159=0,"",COUNTIF(X$27:X158,"&gt;0")+1)</f>
        <v/>
      </c>
      <c r="Y159" s="355"/>
      <c r="Z159" s="359">
        <f t="shared" si="27"/>
        <v>5.5389999999999997</v>
      </c>
      <c r="AA159" s="359">
        <f t="shared" si="28"/>
        <v>5.5389999999999997</v>
      </c>
      <c r="AB159" s="359" t="str">
        <f t="shared" si="29"/>
        <v/>
      </c>
      <c r="AC159" s="355">
        <v>3.9E-2</v>
      </c>
      <c r="AD159" s="355" t="str">
        <f t="shared" si="30"/>
        <v/>
      </c>
      <c r="AE159" s="355">
        <f t="shared" si="31"/>
        <v>14</v>
      </c>
      <c r="AF159" s="355">
        <f t="shared" si="32"/>
        <v>14</v>
      </c>
      <c r="AG159" s="355" t="str">
        <f t="shared" si="33"/>
        <v/>
      </c>
      <c r="AH159" s="355">
        <f t="shared" si="34"/>
        <v>0</v>
      </c>
      <c r="AI159" s="355"/>
      <c r="AJ159" s="219"/>
      <c r="AK159" s="219"/>
      <c r="AL159" s="219"/>
      <c r="AM159" s="399"/>
      <c r="AN159" s="399"/>
      <c r="AO159" s="399"/>
      <c r="AP159" s="399"/>
    </row>
    <row r="160" spans="1:42" hidden="1" x14ac:dyDescent="0.25">
      <c r="A160" s="330"/>
      <c r="B160" s="48" t="s">
        <v>168</v>
      </c>
      <c r="C160" s="78" t="s">
        <v>95</v>
      </c>
      <c r="D160" s="79"/>
      <c r="E160" s="80" t="s">
        <v>96</v>
      </c>
      <c r="F160" s="180" t="s">
        <v>399</v>
      </c>
      <c r="G160" s="176">
        <v>8712044889573</v>
      </c>
      <c r="H160" s="13">
        <v>1</v>
      </c>
      <c r="I160" s="13">
        <v>1</v>
      </c>
      <c r="J160" s="15" t="s">
        <v>97</v>
      </c>
      <c r="K160" s="5" t="s">
        <v>26</v>
      </c>
      <c r="L160" s="200" t="s">
        <v>23</v>
      </c>
      <c r="M160" s="357" t="s">
        <v>19</v>
      </c>
      <c r="N160" s="355" t="s">
        <v>841</v>
      </c>
      <c r="O160" s="355">
        <v>93</v>
      </c>
      <c r="P160" s="355">
        <v>0.14199999999999999</v>
      </c>
      <c r="Q160" s="355"/>
      <c r="R160" s="355">
        <v>35</v>
      </c>
      <c r="S160" s="355" t="s">
        <v>576</v>
      </c>
      <c r="T160" s="355" t="s">
        <v>612</v>
      </c>
      <c r="U160" s="355">
        <f t="shared" si="26"/>
        <v>0</v>
      </c>
      <c r="V160" s="355"/>
      <c r="W160" s="360" t="str">
        <f>IF(U160=0,"",COUNTIF(W$27:W159,"&gt;0")+1)</f>
        <v/>
      </c>
      <c r="X160" s="360" t="str">
        <f>IF(U160=0,"",COUNTIF(X$27:X159,"&gt;0")+1)</f>
        <v/>
      </c>
      <c r="Y160" s="355"/>
      <c r="Z160" s="359">
        <f t="shared" si="27"/>
        <v>2.54</v>
      </c>
      <c r="AA160" s="359">
        <f t="shared" si="28"/>
        <v>2.54</v>
      </c>
      <c r="AB160" s="359" t="str">
        <f t="shared" si="29"/>
        <v/>
      </c>
      <c r="AC160" s="355">
        <v>0.04</v>
      </c>
      <c r="AD160" s="355" t="str">
        <f t="shared" si="30"/>
        <v/>
      </c>
      <c r="AE160" s="355">
        <f t="shared" si="31"/>
        <v>3</v>
      </c>
      <c r="AF160" s="355">
        <f t="shared" si="32"/>
        <v>3</v>
      </c>
      <c r="AG160" s="355" t="str">
        <f t="shared" si="33"/>
        <v/>
      </c>
      <c r="AH160" s="355">
        <f t="shared" si="34"/>
        <v>0</v>
      </c>
      <c r="AI160" s="355"/>
      <c r="AJ160" s="219"/>
      <c r="AK160" s="219"/>
      <c r="AL160" s="219"/>
      <c r="AM160" s="399"/>
      <c r="AN160" s="399"/>
      <c r="AO160" s="399"/>
      <c r="AP160" s="399"/>
    </row>
    <row r="161" spans="1:42" hidden="1" x14ac:dyDescent="0.25">
      <c r="A161" s="330"/>
      <c r="B161" s="48" t="s">
        <v>168</v>
      </c>
      <c r="C161" s="78" t="s">
        <v>98</v>
      </c>
      <c r="D161" s="79"/>
      <c r="E161" s="80" t="s">
        <v>99</v>
      </c>
      <c r="F161" s="180" t="s">
        <v>399</v>
      </c>
      <c r="G161" s="176">
        <v>8712044889580</v>
      </c>
      <c r="H161" s="13">
        <v>1</v>
      </c>
      <c r="I161" s="13">
        <v>1</v>
      </c>
      <c r="J161" s="15" t="s">
        <v>100</v>
      </c>
      <c r="K161" s="5" t="s">
        <v>26</v>
      </c>
      <c r="L161" s="200"/>
      <c r="M161" s="356" t="s">
        <v>30</v>
      </c>
      <c r="N161" s="355" t="s">
        <v>842</v>
      </c>
      <c r="O161" s="355"/>
      <c r="P161" s="355">
        <v>0.14199999999999999</v>
      </c>
      <c r="Q161" s="355"/>
      <c r="R161" s="355">
        <v>35</v>
      </c>
      <c r="S161" s="355" t="s">
        <v>576</v>
      </c>
      <c r="T161" s="355" t="s">
        <v>612</v>
      </c>
      <c r="U161" s="355">
        <f t="shared" si="26"/>
        <v>0</v>
      </c>
      <c r="V161" s="355"/>
      <c r="W161" s="360" t="str">
        <f>IF(U161=0,"",COUNTIF(W$27:W160,"&gt;0")+1)</f>
        <v/>
      </c>
      <c r="X161" s="360" t="str">
        <f>IF(U161=0,"",COUNTIF(X$27:X160,"&gt;0")+1)</f>
        <v/>
      </c>
      <c r="Y161" s="355"/>
      <c r="Z161" s="359" t="str">
        <f t="shared" si="27"/>
        <v/>
      </c>
      <c r="AA161" s="359" t="str">
        <f t="shared" si="28"/>
        <v/>
      </c>
      <c r="AB161" s="359" t="str">
        <f t="shared" si="29"/>
        <v/>
      </c>
      <c r="AC161" s="355">
        <v>4.1000000000000002E-2</v>
      </c>
      <c r="AD161" s="355" t="str">
        <f t="shared" si="30"/>
        <v>YES</v>
      </c>
      <c r="AE161" s="355" t="str">
        <f t="shared" si="31"/>
        <v/>
      </c>
      <c r="AF161" s="355" t="str">
        <f t="shared" si="32"/>
        <v/>
      </c>
      <c r="AG161" s="355" t="str">
        <f t="shared" si="33"/>
        <v/>
      </c>
      <c r="AH161" s="355">
        <f t="shared" si="34"/>
        <v>0</v>
      </c>
      <c r="AI161" s="355"/>
      <c r="AJ161" s="219"/>
      <c r="AK161" s="219"/>
      <c r="AL161" s="219"/>
      <c r="AM161" s="399"/>
      <c r="AN161" s="399"/>
      <c r="AO161" s="399"/>
      <c r="AP161" s="399"/>
    </row>
    <row r="162" spans="1:42" hidden="1" x14ac:dyDescent="0.25">
      <c r="A162" s="330"/>
      <c r="B162" s="48" t="s">
        <v>168</v>
      </c>
      <c r="C162" s="78" t="s">
        <v>101</v>
      </c>
      <c r="D162" s="79"/>
      <c r="E162" s="80" t="s">
        <v>102</v>
      </c>
      <c r="F162" s="180" t="s">
        <v>399</v>
      </c>
      <c r="G162" s="176">
        <v>8712044889566</v>
      </c>
      <c r="H162" s="13">
        <v>1</v>
      </c>
      <c r="I162" s="18">
        <v>2</v>
      </c>
      <c r="J162" s="15" t="s">
        <v>103</v>
      </c>
      <c r="K162" s="5" t="s">
        <v>26</v>
      </c>
      <c r="L162" s="200" t="s">
        <v>23</v>
      </c>
      <c r="M162" s="356" t="s">
        <v>30</v>
      </c>
      <c r="N162" s="355" t="s">
        <v>843</v>
      </c>
      <c r="O162" s="355"/>
      <c r="P162" s="355">
        <v>0.14199999999999999</v>
      </c>
      <c r="Q162" s="355"/>
      <c r="R162" s="355">
        <v>35</v>
      </c>
      <c r="S162" s="355" t="s">
        <v>576</v>
      </c>
      <c r="T162" s="355" t="s">
        <v>612</v>
      </c>
      <c r="U162" s="355">
        <f t="shared" si="26"/>
        <v>0</v>
      </c>
      <c r="V162" s="355"/>
      <c r="W162" s="360" t="str">
        <f>IF(U162=0,"",COUNTIF(W$27:W161,"&gt;0")+1)</f>
        <v/>
      </c>
      <c r="X162" s="360" t="str">
        <f>IF(U162=0,"",COUNTIF(X$27:X161,"&gt;0")+1)</f>
        <v/>
      </c>
      <c r="Y162" s="355"/>
      <c r="Z162" s="359" t="str">
        <f t="shared" si="27"/>
        <v/>
      </c>
      <c r="AA162" s="359" t="str">
        <f t="shared" si="28"/>
        <v/>
      </c>
      <c r="AB162" s="359" t="str">
        <f t="shared" si="29"/>
        <v/>
      </c>
      <c r="AC162" s="355">
        <v>4.2000000000000003E-2</v>
      </c>
      <c r="AD162" s="355" t="str">
        <f t="shared" si="30"/>
        <v>YES</v>
      </c>
      <c r="AE162" s="355" t="str">
        <f t="shared" si="31"/>
        <v/>
      </c>
      <c r="AF162" s="355" t="str">
        <f t="shared" si="32"/>
        <v/>
      </c>
      <c r="AG162" s="355" t="str">
        <f t="shared" si="33"/>
        <v/>
      </c>
      <c r="AH162" s="355">
        <f t="shared" si="34"/>
        <v>0</v>
      </c>
      <c r="AI162" s="355"/>
      <c r="AJ162" s="219"/>
      <c r="AK162" s="219"/>
      <c r="AL162" s="219"/>
      <c r="AM162" s="399"/>
      <c r="AN162" s="399"/>
      <c r="AO162" s="399"/>
      <c r="AP162" s="399"/>
    </row>
    <row r="163" spans="1:42" hidden="1" x14ac:dyDescent="0.25">
      <c r="A163" s="330"/>
      <c r="B163" s="48" t="s">
        <v>168</v>
      </c>
      <c r="C163" s="78" t="s">
        <v>539</v>
      </c>
      <c r="D163" s="79"/>
      <c r="E163" s="80" t="s">
        <v>484</v>
      </c>
      <c r="F163" s="180" t="s">
        <v>399</v>
      </c>
      <c r="G163" s="176">
        <v>8712815756530</v>
      </c>
      <c r="H163" s="19">
        <v>3</v>
      </c>
      <c r="I163" s="13">
        <v>1</v>
      </c>
      <c r="J163" s="22" t="s">
        <v>105</v>
      </c>
      <c r="K163" s="5" t="s">
        <v>26</v>
      </c>
      <c r="L163" s="200"/>
      <c r="M163" s="356" t="s">
        <v>30</v>
      </c>
      <c r="N163" s="355" t="s">
        <v>844</v>
      </c>
      <c r="O163" s="355"/>
      <c r="P163" s="355">
        <v>0.14199999999999999</v>
      </c>
      <c r="Q163" s="355"/>
      <c r="R163" s="355">
        <v>35</v>
      </c>
      <c r="S163" s="355" t="s">
        <v>576</v>
      </c>
      <c r="T163" s="355" t="s">
        <v>612</v>
      </c>
      <c r="U163" s="355">
        <f t="shared" si="26"/>
        <v>0</v>
      </c>
      <c r="V163" s="355"/>
      <c r="W163" s="360" t="str">
        <f>IF(U163=0,"",COUNTIF(W$27:W162,"&gt;0")+1)</f>
        <v/>
      </c>
      <c r="X163" s="360" t="str">
        <f>IF(U163=0,"",COUNTIF(X$27:X162,"&gt;0")+1)</f>
        <v/>
      </c>
      <c r="Y163" s="355"/>
      <c r="Z163" s="359" t="str">
        <f t="shared" si="27"/>
        <v/>
      </c>
      <c r="AA163" s="359" t="str">
        <f t="shared" si="28"/>
        <v/>
      </c>
      <c r="AB163" s="359" t="str">
        <f t="shared" si="29"/>
        <v/>
      </c>
      <c r="AC163" s="355">
        <v>4.2999999999999997E-2</v>
      </c>
      <c r="AD163" s="355" t="str">
        <f t="shared" si="30"/>
        <v>YES</v>
      </c>
      <c r="AE163" s="355" t="str">
        <f t="shared" si="31"/>
        <v/>
      </c>
      <c r="AF163" s="355" t="str">
        <f t="shared" si="32"/>
        <v/>
      </c>
      <c r="AG163" s="355" t="str">
        <f t="shared" si="33"/>
        <v/>
      </c>
      <c r="AH163" s="355">
        <f t="shared" si="34"/>
        <v>0</v>
      </c>
      <c r="AI163" s="355"/>
      <c r="AJ163" s="219"/>
      <c r="AK163" s="219"/>
      <c r="AL163" s="219"/>
      <c r="AM163" s="399"/>
      <c r="AN163" s="399"/>
      <c r="AO163" s="399"/>
      <c r="AP163" s="399"/>
    </row>
    <row r="164" spans="1:42" hidden="1" x14ac:dyDescent="0.25">
      <c r="A164" s="330"/>
      <c r="B164" s="48" t="s">
        <v>168</v>
      </c>
      <c r="C164" s="78" t="s">
        <v>483</v>
      </c>
      <c r="D164" s="79"/>
      <c r="E164" s="80" t="s">
        <v>485</v>
      </c>
      <c r="F164" s="180" t="s">
        <v>399</v>
      </c>
      <c r="G164" s="176">
        <v>8712815756547</v>
      </c>
      <c r="H164" s="19">
        <v>3</v>
      </c>
      <c r="I164" s="13">
        <v>1</v>
      </c>
      <c r="J164" s="22" t="s">
        <v>108</v>
      </c>
      <c r="K164" s="5" t="s">
        <v>26</v>
      </c>
      <c r="L164" s="200"/>
      <c r="M164" s="357" t="s">
        <v>19</v>
      </c>
      <c r="N164" s="355" t="s">
        <v>845</v>
      </c>
      <c r="O164" s="355">
        <v>94</v>
      </c>
      <c r="P164" s="355">
        <v>0.14199999999999999</v>
      </c>
      <c r="Q164" s="355"/>
      <c r="R164" s="355">
        <v>35</v>
      </c>
      <c r="S164" s="355" t="s">
        <v>576</v>
      </c>
      <c r="T164" s="355" t="s">
        <v>612</v>
      </c>
      <c r="U164" s="355">
        <f t="shared" si="26"/>
        <v>0</v>
      </c>
      <c r="V164" s="355"/>
      <c r="W164" s="360" t="str">
        <f>IF(U164=0,"",COUNTIF(W$27:W163,"&gt;0")+1)</f>
        <v/>
      </c>
      <c r="X164" s="360" t="str">
        <f>IF(U164=0,"",COUNTIF(X$27:X163,"&gt;0")+1)</f>
        <v/>
      </c>
      <c r="Y164" s="355"/>
      <c r="Z164" s="359">
        <f t="shared" si="27"/>
        <v>5.5439999999999996</v>
      </c>
      <c r="AA164" s="359">
        <f t="shared" si="28"/>
        <v>5.5439999999999996</v>
      </c>
      <c r="AB164" s="359" t="str">
        <f t="shared" si="29"/>
        <v/>
      </c>
      <c r="AC164" s="355">
        <v>4.3999999999999997E-2</v>
      </c>
      <c r="AD164" s="355" t="str">
        <f t="shared" si="30"/>
        <v/>
      </c>
      <c r="AE164" s="355">
        <f t="shared" si="31"/>
        <v>15</v>
      </c>
      <c r="AF164" s="355">
        <f t="shared" si="32"/>
        <v>15</v>
      </c>
      <c r="AG164" s="355" t="str">
        <f t="shared" si="33"/>
        <v/>
      </c>
      <c r="AH164" s="355">
        <f t="shared" si="34"/>
        <v>0</v>
      </c>
      <c r="AI164" s="355"/>
      <c r="AJ164" s="219"/>
      <c r="AK164" s="219"/>
      <c r="AL164" s="219"/>
      <c r="AM164" s="399"/>
      <c r="AN164" s="399"/>
      <c r="AO164" s="399"/>
      <c r="AP164" s="399"/>
    </row>
    <row r="165" spans="1:42" hidden="1" x14ac:dyDescent="0.25">
      <c r="A165" s="330"/>
      <c r="B165" s="48" t="s">
        <v>168</v>
      </c>
      <c r="C165" s="78" t="s">
        <v>109</v>
      </c>
      <c r="D165" s="79"/>
      <c r="E165" s="80" t="s">
        <v>110</v>
      </c>
      <c r="F165" s="180" t="s">
        <v>399</v>
      </c>
      <c r="G165" s="176">
        <v>8712044889603</v>
      </c>
      <c r="H165" s="13">
        <v>1</v>
      </c>
      <c r="I165" s="18">
        <v>2</v>
      </c>
      <c r="J165" s="15" t="s">
        <v>111</v>
      </c>
      <c r="K165" s="5" t="s">
        <v>26</v>
      </c>
      <c r="L165" s="200" t="s">
        <v>23</v>
      </c>
      <c r="M165" s="357" t="s">
        <v>19</v>
      </c>
      <c r="N165" s="355" t="s">
        <v>846</v>
      </c>
      <c r="O165" s="355">
        <v>95</v>
      </c>
      <c r="P165" s="355">
        <v>0.14199999999999999</v>
      </c>
      <c r="Q165" s="355"/>
      <c r="R165" s="355">
        <v>35</v>
      </c>
      <c r="S165" s="355" t="s">
        <v>576</v>
      </c>
      <c r="T165" s="355" t="s">
        <v>612</v>
      </c>
      <c r="U165" s="355">
        <f t="shared" si="26"/>
        <v>0</v>
      </c>
      <c r="V165" s="355"/>
      <c r="W165" s="360" t="str">
        <f>IF(U165=0,"",COUNTIF(W$27:W164,"&gt;0")+1)</f>
        <v/>
      </c>
      <c r="X165" s="360" t="str">
        <f>IF(U165=0,"",COUNTIF(X$27:X164,"&gt;0")+1)</f>
        <v/>
      </c>
      <c r="Y165" s="355"/>
      <c r="Z165" s="359">
        <f t="shared" si="27"/>
        <v>3.5449999999999999</v>
      </c>
      <c r="AA165" s="359">
        <f t="shared" si="28"/>
        <v>3.5449999999999999</v>
      </c>
      <c r="AB165" s="359" t="str">
        <f t="shared" si="29"/>
        <v/>
      </c>
      <c r="AC165" s="355">
        <v>4.4999999999999998E-2</v>
      </c>
      <c r="AD165" s="355" t="str">
        <f t="shared" si="30"/>
        <v/>
      </c>
      <c r="AE165" s="355">
        <f t="shared" si="31"/>
        <v>7</v>
      </c>
      <c r="AF165" s="355">
        <f t="shared" si="32"/>
        <v>7</v>
      </c>
      <c r="AG165" s="355" t="str">
        <f t="shared" si="33"/>
        <v/>
      </c>
      <c r="AH165" s="355">
        <f t="shared" si="34"/>
        <v>0</v>
      </c>
      <c r="AI165" s="355"/>
      <c r="AJ165" s="219"/>
      <c r="AK165" s="219"/>
      <c r="AL165" s="219"/>
      <c r="AM165" s="399"/>
      <c r="AN165" s="399"/>
      <c r="AO165" s="399"/>
      <c r="AP165" s="399"/>
    </row>
    <row r="166" spans="1:42" hidden="1" x14ac:dyDescent="0.25">
      <c r="A166" s="330"/>
      <c r="B166" s="48" t="s">
        <v>168</v>
      </c>
      <c r="C166" s="78" t="s">
        <v>112</v>
      </c>
      <c r="D166" s="79"/>
      <c r="E166" s="80" t="s">
        <v>113</v>
      </c>
      <c r="F166" s="180" t="s">
        <v>399</v>
      </c>
      <c r="G166" s="176">
        <v>8712044889610</v>
      </c>
      <c r="H166" s="18">
        <v>2</v>
      </c>
      <c r="I166" s="13">
        <v>1</v>
      </c>
      <c r="J166" s="15" t="s">
        <v>114</v>
      </c>
      <c r="K166" s="5" t="s">
        <v>26</v>
      </c>
      <c r="L166" s="200" t="s">
        <v>23</v>
      </c>
      <c r="M166" s="356" t="s">
        <v>30</v>
      </c>
      <c r="N166" s="355" t="s">
        <v>847</v>
      </c>
      <c r="O166" s="355"/>
      <c r="P166" s="355">
        <v>0.14199999999999999</v>
      </c>
      <c r="Q166" s="355"/>
      <c r="R166" s="355">
        <v>35</v>
      </c>
      <c r="S166" s="355" t="s">
        <v>576</v>
      </c>
      <c r="T166" s="355" t="s">
        <v>612</v>
      </c>
      <c r="U166" s="355">
        <f t="shared" si="26"/>
        <v>0</v>
      </c>
      <c r="V166" s="355"/>
      <c r="W166" s="360" t="str">
        <f>IF(U166=0,"",COUNTIF(W$27:W165,"&gt;0")+1)</f>
        <v/>
      </c>
      <c r="X166" s="360" t="str">
        <f>IF(U166=0,"",COUNTIF(X$27:X165,"&gt;0")+1)</f>
        <v/>
      </c>
      <c r="Y166" s="355"/>
      <c r="Z166" s="359" t="str">
        <f t="shared" si="27"/>
        <v/>
      </c>
      <c r="AA166" s="359" t="str">
        <f t="shared" si="28"/>
        <v/>
      </c>
      <c r="AB166" s="359" t="str">
        <f t="shared" si="29"/>
        <v/>
      </c>
      <c r="AC166" s="355">
        <v>4.5999999999999999E-2</v>
      </c>
      <c r="AD166" s="355" t="str">
        <f t="shared" si="30"/>
        <v>YES</v>
      </c>
      <c r="AE166" s="355" t="str">
        <f t="shared" si="31"/>
        <v/>
      </c>
      <c r="AF166" s="355" t="str">
        <f t="shared" si="32"/>
        <v/>
      </c>
      <c r="AG166" s="355" t="str">
        <f t="shared" si="33"/>
        <v/>
      </c>
      <c r="AH166" s="355">
        <f t="shared" si="34"/>
        <v>0</v>
      </c>
      <c r="AI166" s="355"/>
      <c r="AJ166" s="219"/>
      <c r="AK166" s="219"/>
      <c r="AL166" s="219"/>
      <c r="AM166" s="399"/>
      <c r="AN166" s="399"/>
      <c r="AO166" s="399"/>
      <c r="AP166" s="399"/>
    </row>
    <row r="167" spans="1:42" hidden="1" x14ac:dyDescent="0.25">
      <c r="A167" s="330"/>
      <c r="B167" s="48" t="s">
        <v>168</v>
      </c>
      <c r="C167" s="78" t="s">
        <v>486</v>
      </c>
      <c r="D167" s="79"/>
      <c r="E167" s="80" t="s">
        <v>487</v>
      </c>
      <c r="F167" s="180" t="s">
        <v>400</v>
      </c>
      <c r="G167" s="176">
        <v>8712044889627</v>
      </c>
      <c r="H167" s="18">
        <v>2</v>
      </c>
      <c r="I167" s="13">
        <v>1</v>
      </c>
      <c r="J167" s="15" t="s">
        <v>488</v>
      </c>
      <c r="K167" s="5" t="s">
        <v>26</v>
      </c>
      <c r="L167" s="200" t="s">
        <v>23</v>
      </c>
      <c r="M167" s="356" t="s">
        <v>30</v>
      </c>
      <c r="N167" s="355" t="s">
        <v>848</v>
      </c>
      <c r="O167" s="355"/>
      <c r="P167" s="355">
        <v>0.14199999999999999</v>
      </c>
      <c r="Q167" s="355"/>
      <c r="R167" s="355">
        <v>35</v>
      </c>
      <c r="S167" s="355" t="s">
        <v>576</v>
      </c>
      <c r="T167" s="355" t="s">
        <v>612</v>
      </c>
      <c r="U167" s="355">
        <f t="shared" si="26"/>
        <v>0</v>
      </c>
      <c r="V167" s="355"/>
      <c r="W167" s="360" t="str">
        <f>IF(U167=0,"",COUNTIF(W$27:W166,"&gt;0")+1)</f>
        <v/>
      </c>
      <c r="X167" s="360" t="str">
        <f>IF(U167=0,"",COUNTIF(X$27:X166,"&gt;0")+1)</f>
        <v/>
      </c>
      <c r="Y167" s="355"/>
      <c r="Z167" s="359" t="str">
        <f t="shared" si="27"/>
        <v/>
      </c>
      <c r="AA167" s="359" t="str">
        <f t="shared" si="28"/>
        <v/>
      </c>
      <c r="AB167" s="359" t="str">
        <f t="shared" si="29"/>
        <v/>
      </c>
      <c r="AC167" s="355">
        <v>4.7E-2</v>
      </c>
      <c r="AD167" s="355" t="str">
        <f t="shared" si="30"/>
        <v>YES</v>
      </c>
      <c r="AE167" s="355" t="str">
        <f t="shared" si="31"/>
        <v/>
      </c>
      <c r="AF167" s="355" t="str">
        <f t="shared" si="32"/>
        <v/>
      </c>
      <c r="AG167" s="355" t="str">
        <f t="shared" si="33"/>
        <v/>
      </c>
      <c r="AH167" s="355">
        <f t="shared" si="34"/>
        <v>0</v>
      </c>
      <c r="AI167" s="355"/>
      <c r="AJ167" s="219"/>
      <c r="AK167" s="219"/>
      <c r="AL167" s="219"/>
      <c r="AM167" s="399"/>
      <c r="AN167" s="399"/>
      <c r="AO167" s="399"/>
      <c r="AP167" s="399"/>
    </row>
    <row r="168" spans="1:42" hidden="1" x14ac:dyDescent="0.25">
      <c r="A168" s="330"/>
      <c r="B168" s="48" t="s">
        <v>168</v>
      </c>
      <c r="C168" s="78" t="s">
        <v>115</v>
      </c>
      <c r="D168" s="79"/>
      <c r="E168" s="80" t="s">
        <v>116</v>
      </c>
      <c r="F168" s="180" t="s">
        <v>399</v>
      </c>
      <c r="G168" s="176">
        <v>8712044889658</v>
      </c>
      <c r="H168" s="19">
        <v>3</v>
      </c>
      <c r="I168" s="13">
        <v>1</v>
      </c>
      <c r="J168" s="15" t="s">
        <v>117</v>
      </c>
      <c r="K168" s="5" t="s">
        <v>26</v>
      </c>
      <c r="L168" s="200"/>
      <c r="M168" s="356" t="s">
        <v>30</v>
      </c>
      <c r="N168" s="355" t="s">
        <v>849</v>
      </c>
      <c r="O168" s="355"/>
      <c r="P168" s="355">
        <v>0.14199999999999999</v>
      </c>
      <c r="Q168" s="355"/>
      <c r="R168" s="355">
        <v>35</v>
      </c>
      <c r="S168" s="355" t="s">
        <v>576</v>
      </c>
      <c r="T168" s="355" t="s">
        <v>612</v>
      </c>
      <c r="U168" s="355">
        <f t="shared" si="26"/>
        <v>0</v>
      </c>
      <c r="V168" s="355"/>
      <c r="W168" s="360" t="str">
        <f>IF(U168=0,"",COUNTIF(W$27:W167,"&gt;0")+1)</f>
        <v/>
      </c>
      <c r="X168" s="360" t="str">
        <f>IF(U168=0,"",COUNTIF(X$27:X167,"&gt;0")+1)</f>
        <v/>
      </c>
      <c r="Y168" s="355"/>
      <c r="Z168" s="359" t="str">
        <f t="shared" si="27"/>
        <v/>
      </c>
      <c r="AA168" s="359" t="str">
        <f t="shared" si="28"/>
        <v/>
      </c>
      <c r="AB168" s="359" t="str">
        <f t="shared" si="29"/>
        <v/>
      </c>
      <c r="AC168" s="355">
        <v>4.8000000000000001E-2</v>
      </c>
      <c r="AD168" s="355" t="str">
        <f t="shared" si="30"/>
        <v>YES</v>
      </c>
      <c r="AE168" s="355" t="str">
        <f t="shared" si="31"/>
        <v/>
      </c>
      <c r="AF168" s="355" t="str">
        <f t="shared" si="32"/>
        <v/>
      </c>
      <c r="AG168" s="355" t="str">
        <f t="shared" si="33"/>
        <v/>
      </c>
      <c r="AH168" s="355">
        <f t="shared" si="34"/>
        <v>0</v>
      </c>
      <c r="AI168" s="355"/>
      <c r="AJ168" s="219"/>
      <c r="AK168" s="219"/>
      <c r="AL168" s="219"/>
      <c r="AM168" s="399"/>
      <c r="AN168" s="399"/>
      <c r="AO168" s="399"/>
      <c r="AP168" s="399"/>
    </row>
    <row r="169" spans="1:42" hidden="1" x14ac:dyDescent="0.25">
      <c r="A169" s="330"/>
      <c r="B169" s="48" t="s">
        <v>168</v>
      </c>
      <c r="C169" s="78" t="s">
        <v>118</v>
      </c>
      <c r="D169" s="79"/>
      <c r="E169" s="80" t="s">
        <v>119</v>
      </c>
      <c r="F169" s="180" t="s">
        <v>399</v>
      </c>
      <c r="G169" s="176">
        <v>8712044889665</v>
      </c>
      <c r="H169" s="13">
        <v>1</v>
      </c>
      <c r="I169" s="18">
        <v>2</v>
      </c>
      <c r="J169" s="15" t="s">
        <v>120</v>
      </c>
      <c r="K169" s="5" t="s">
        <v>26</v>
      </c>
      <c r="L169" s="200" t="s">
        <v>23</v>
      </c>
      <c r="M169" s="357" t="s">
        <v>19</v>
      </c>
      <c r="N169" s="355" t="s">
        <v>850</v>
      </c>
      <c r="O169" s="355">
        <v>96</v>
      </c>
      <c r="P169" s="355">
        <v>0.14199999999999999</v>
      </c>
      <c r="Q169" s="355"/>
      <c r="R169" s="355">
        <v>35</v>
      </c>
      <c r="S169" s="355" t="s">
        <v>576</v>
      </c>
      <c r="T169" s="355" t="s">
        <v>612</v>
      </c>
      <c r="U169" s="355">
        <f t="shared" si="26"/>
        <v>0</v>
      </c>
      <c r="V169" s="355"/>
      <c r="W169" s="360" t="str">
        <f>IF(U169=0,"",COUNTIF(W$27:W168,"&gt;0")+1)</f>
        <v/>
      </c>
      <c r="X169" s="360" t="str">
        <f>IF(U169=0,"",COUNTIF(X$27:X168,"&gt;0")+1)</f>
        <v/>
      </c>
      <c r="Y169" s="355"/>
      <c r="Z169" s="359">
        <f t="shared" si="27"/>
        <v>3.5489999999999999</v>
      </c>
      <c r="AA169" s="359">
        <f t="shared" si="28"/>
        <v>3.5489999999999999</v>
      </c>
      <c r="AB169" s="359" t="str">
        <f t="shared" si="29"/>
        <v/>
      </c>
      <c r="AC169" s="355">
        <v>4.9000000000000002E-2</v>
      </c>
      <c r="AD169" s="355" t="str">
        <f t="shared" si="30"/>
        <v/>
      </c>
      <c r="AE169" s="355">
        <f t="shared" si="31"/>
        <v>8</v>
      </c>
      <c r="AF169" s="355">
        <f t="shared" si="32"/>
        <v>8</v>
      </c>
      <c r="AG169" s="355" t="str">
        <f t="shared" si="33"/>
        <v/>
      </c>
      <c r="AH169" s="355">
        <f t="shared" si="34"/>
        <v>0</v>
      </c>
      <c r="AI169" s="355"/>
      <c r="AJ169" s="219"/>
      <c r="AK169" s="219"/>
      <c r="AL169" s="219"/>
      <c r="AM169" s="399"/>
      <c r="AN169" s="399"/>
      <c r="AO169" s="399"/>
      <c r="AP169" s="399"/>
    </row>
    <row r="170" spans="1:42" hidden="1" x14ac:dyDescent="0.25">
      <c r="A170" s="330"/>
      <c r="B170" s="48" t="s">
        <v>168</v>
      </c>
      <c r="C170" s="78" t="s">
        <v>540</v>
      </c>
      <c r="D170" s="79"/>
      <c r="E170" s="80" t="s">
        <v>125</v>
      </c>
      <c r="F170" s="180" t="s">
        <v>399</v>
      </c>
      <c r="G170" s="176">
        <v>8712044889696</v>
      </c>
      <c r="H170" s="13">
        <v>1</v>
      </c>
      <c r="I170" s="13">
        <v>1</v>
      </c>
      <c r="J170" s="15" t="s">
        <v>126</v>
      </c>
      <c r="K170" s="5" t="s">
        <v>26</v>
      </c>
      <c r="L170" s="200"/>
      <c r="M170" s="357" t="s">
        <v>19</v>
      </c>
      <c r="N170" s="355" t="s">
        <v>851</v>
      </c>
      <c r="O170" s="355">
        <v>97</v>
      </c>
      <c r="P170" s="355">
        <v>0.14199999999999999</v>
      </c>
      <c r="Q170" s="355"/>
      <c r="R170" s="355">
        <v>35</v>
      </c>
      <c r="S170" s="355" t="s">
        <v>576</v>
      </c>
      <c r="T170" s="355" t="s">
        <v>612</v>
      </c>
      <c r="U170" s="355">
        <f t="shared" si="26"/>
        <v>0</v>
      </c>
      <c r="V170" s="355"/>
      <c r="W170" s="360" t="str">
        <f>IF(U170=0,"",COUNTIF(W$27:W169,"&gt;0")+1)</f>
        <v/>
      </c>
      <c r="X170" s="360" t="str">
        <f>IF(U170=0,"",COUNTIF(X$27:X169,"&gt;0")+1)</f>
        <v/>
      </c>
      <c r="Y170" s="355"/>
      <c r="Z170" s="359">
        <f t="shared" si="27"/>
        <v>2.5499999999999998</v>
      </c>
      <c r="AA170" s="359">
        <f t="shared" si="28"/>
        <v>2.5499999999999998</v>
      </c>
      <c r="AB170" s="359" t="str">
        <f t="shared" si="29"/>
        <v/>
      </c>
      <c r="AC170" s="355">
        <v>0.05</v>
      </c>
      <c r="AD170" s="355" t="str">
        <f t="shared" si="30"/>
        <v/>
      </c>
      <c r="AE170" s="355">
        <f t="shared" si="31"/>
        <v>4</v>
      </c>
      <c r="AF170" s="355">
        <f t="shared" si="32"/>
        <v>4</v>
      </c>
      <c r="AG170" s="355" t="str">
        <f t="shared" si="33"/>
        <v/>
      </c>
      <c r="AH170" s="355">
        <f t="shared" si="34"/>
        <v>0</v>
      </c>
      <c r="AI170" s="355"/>
      <c r="AJ170" s="219"/>
      <c r="AK170" s="219"/>
      <c r="AL170" s="219"/>
      <c r="AM170" s="399"/>
      <c r="AN170" s="399"/>
      <c r="AO170" s="399"/>
      <c r="AP170" s="399"/>
    </row>
    <row r="171" spans="1:42" hidden="1" x14ac:dyDescent="0.25">
      <c r="A171" s="330"/>
      <c r="B171" s="48" t="s">
        <v>168</v>
      </c>
      <c r="C171" s="142" t="s">
        <v>405</v>
      </c>
      <c r="D171" s="79"/>
      <c r="E171" s="80" t="s">
        <v>406</v>
      </c>
      <c r="F171" s="180" t="s">
        <v>399</v>
      </c>
      <c r="G171" s="176">
        <v>8712044889719</v>
      </c>
      <c r="H171" s="18">
        <v>2</v>
      </c>
      <c r="I171" s="13">
        <v>1</v>
      </c>
      <c r="J171" s="15" t="s">
        <v>407</v>
      </c>
      <c r="K171" s="5" t="s">
        <v>26</v>
      </c>
      <c r="L171" s="200"/>
      <c r="M171" s="357" t="s">
        <v>19</v>
      </c>
      <c r="N171" s="355" t="s">
        <v>852</v>
      </c>
      <c r="O171" s="355">
        <v>98</v>
      </c>
      <c r="P171" s="355">
        <v>0.14199999999999999</v>
      </c>
      <c r="Q171" s="355"/>
      <c r="R171" s="355">
        <v>35</v>
      </c>
      <c r="S171" s="355" t="s">
        <v>576</v>
      </c>
      <c r="T171" s="355" t="s">
        <v>612</v>
      </c>
      <c r="U171" s="355">
        <f t="shared" si="26"/>
        <v>0</v>
      </c>
      <c r="V171" s="355"/>
      <c r="W171" s="360" t="str">
        <f>IF(U171=0,"",COUNTIF(W$27:W170,"&gt;0")+1)</f>
        <v/>
      </c>
      <c r="X171" s="360" t="str">
        <f>IF(U171=0,"",COUNTIF(X$27:X170,"&gt;0")+1)</f>
        <v/>
      </c>
      <c r="Y171" s="355"/>
      <c r="Z171" s="359">
        <f t="shared" si="27"/>
        <v>4.0510000000000002</v>
      </c>
      <c r="AA171" s="359">
        <f t="shared" si="28"/>
        <v>4.0510000000000002</v>
      </c>
      <c r="AB171" s="359" t="str">
        <f t="shared" si="29"/>
        <v/>
      </c>
      <c r="AC171" s="355">
        <v>5.0999999999999997E-2</v>
      </c>
      <c r="AD171" s="355" t="str">
        <f t="shared" si="30"/>
        <v/>
      </c>
      <c r="AE171" s="355">
        <f t="shared" si="31"/>
        <v>11</v>
      </c>
      <c r="AF171" s="355">
        <f t="shared" si="32"/>
        <v>11</v>
      </c>
      <c r="AG171" s="355" t="str">
        <f t="shared" si="33"/>
        <v/>
      </c>
      <c r="AH171" s="355">
        <f t="shared" si="34"/>
        <v>0</v>
      </c>
      <c r="AI171" s="355"/>
      <c r="AJ171" s="219"/>
      <c r="AK171" s="219"/>
      <c r="AL171" s="219"/>
      <c r="AM171" s="399"/>
      <c r="AN171" s="399"/>
      <c r="AO171" s="399"/>
      <c r="AP171" s="399"/>
    </row>
    <row r="172" spans="1:42" hidden="1" x14ac:dyDescent="0.25">
      <c r="A172" s="330"/>
      <c r="B172" s="48" t="s">
        <v>168</v>
      </c>
      <c r="C172" s="78" t="s">
        <v>130</v>
      </c>
      <c r="D172" s="79"/>
      <c r="E172" s="87" t="s">
        <v>131</v>
      </c>
      <c r="F172" s="183" t="s">
        <v>399</v>
      </c>
      <c r="G172" s="176">
        <v>8712815756189</v>
      </c>
      <c r="H172" s="18">
        <v>2</v>
      </c>
      <c r="I172" s="13">
        <v>1</v>
      </c>
      <c r="J172" s="15" t="s">
        <v>132</v>
      </c>
      <c r="K172" s="5" t="s">
        <v>526</v>
      </c>
      <c r="L172" s="200" t="s">
        <v>23</v>
      </c>
      <c r="M172" s="356" t="s">
        <v>30</v>
      </c>
      <c r="N172" s="355" t="s">
        <v>853</v>
      </c>
      <c r="O172" s="355"/>
      <c r="P172" s="355">
        <v>0.14199999999999999</v>
      </c>
      <c r="Q172" s="355"/>
      <c r="R172" s="355">
        <v>35</v>
      </c>
      <c r="S172" s="355" t="s">
        <v>576</v>
      </c>
      <c r="T172" s="355" t="s">
        <v>612</v>
      </c>
      <c r="U172" s="355">
        <f t="shared" si="26"/>
        <v>0</v>
      </c>
      <c r="V172" s="355"/>
      <c r="W172" s="360" t="str">
        <f>IF(U172=0,"",COUNTIF(W$27:W171,"&gt;0")+1)</f>
        <v/>
      </c>
      <c r="X172" s="360" t="str">
        <f>IF(U172=0,"",COUNTIF(X$27:X171,"&gt;0")+1)</f>
        <v/>
      </c>
      <c r="Y172" s="355"/>
      <c r="Z172" s="359" t="str">
        <f t="shared" si="27"/>
        <v/>
      </c>
      <c r="AA172" s="359" t="str">
        <f t="shared" si="28"/>
        <v/>
      </c>
      <c r="AB172" s="359" t="str">
        <f t="shared" si="29"/>
        <v/>
      </c>
      <c r="AC172" s="355">
        <v>5.1999999999999998E-2</v>
      </c>
      <c r="AD172" s="355" t="str">
        <f t="shared" si="30"/>
        <v>YES</v>
      </c>
      <c r="AE172" s="355" t="str">
        <f t="shared" si="31"/>
        <v/>
      </c>
      <c r="AF172" s="355" t="str">
        <f t="shared" si="32"/>
        <v/>
      </c>
      <c r="AG172" s="355" t="str">
        <f t="shared" si="33"/>
        <v/>
      </c>
      <c r="AH172" s="355">
        <f t="shared" si="34"/>
        <v>0</v>
      </c>
      <c r="AI172" s="355"/>
      <c r="AJ172" s="219"/>
      <c r="AK172" s="219"/>
      <c r="AL172" s="219"/>
      <c r="AM172" s="399"/>
      <c r="AN172" s="399"/>
      <c r="AO172" s="399"/>
      <c r="AP172" s="399"/>
    </row>
    <row r="173" spans="1:42" hidden="1" x14ac:dyDescent="0.25">
      <c r="A173" s="330"/>
      <c r="B173" s="48" t="s">
        <v>168</v>
      </c>
      <c r="C173" s="78" t="s">
        <v>195</v>
      </c>
      <c r="D173" s="79"/>
      <c r="E173" s="86" t="s">
        <v>468</v>
      </c>
      <c r="F173" s="187" t="s">
        <v>400</v>
      </c>
      <c r="G173" s="176">
        <v>8712044890128</v>
      </c>
      <c r="H173" s="13">
        <v>1</v>
      </c>
      <c r="I173" s="18">
        <v>2</v>
      </c>
      <c r="J173" s="15" t="s">
        <v>196</v>
      </c>
      <c r="K173" s="5" t="s">
        <v>18</v>
      </c>
      <c r="L173" s="200"/>
      <c r="M173" s="356" t="s">
        <v>30</v>
      </c>
      <c r="N173" s="355" t="s">
        <v>854</v>
      </c>
      <c r="O173" s="355"/>
      <c r="P173" s="355">
        <v>0.14199999999999999</v>
      </c>
      <c r="Q173" s="355"/>
      <c r="R173" s="355">
        <v>35</v>
      </c>
      <c r="S173" s="355" t="s">
        <v>576</v>
      </c>
      <c r="T173" s="355" t="s">
        <v>612</v>
      </c>
      <c r="U173" s="355">
        <f t="shared" si="26"/>
        <v>0</v>
      </c>
      <c r="V173" s="355"/>
      <c r="W173" s="360" t="str">
        <f>IF(U173=0,"",COUNTIF(W$27:W172,"&gt;0")+1)</f>
        <v/>
      </c>
      <c r="X173" s="360" t="str">
        <f>IF(U173=0,"",COUNTIF(X$27:X172,"&gt;0")+1)</f>
        <v/>
      </c>
      <c r="Y173" s="355"/>
      <c r="Z173" s="359" t="str">
        <f t="shared" si="27"/>
        <v/>
      </c>
      <c r="AA173" s="359" t="str">
        <f t="shared" si="28"/>
        <v/>
      </c>
      <c r="AB173" s="359" t="str">
        <f t="shared" si="29"/>
        <v/>
      </c>
      <c r="AC173" s="355">
        <v>5.2999999999999999E-2</v>
      </c>
      <c r="AD173" s="355" t="str">
        <f t="shared" si="30"/>
        <v>YES</v>
      </c>
      <c r="AE173" s="355" t="str">
        <f t="shared" si="31"/>
        <v/>
      </c>
      <c r="AF173" s="355" t="str">
        <f t="shared" si="32"/>
        <v/>
      </c>
      <c r="AG173" s="355" t="str">
        <f t="shared" si="33"/>
        <v/>
      </c>
      <c r="AH173" s="355">
        <f t="shared" si="34"/>
        <v>0</v>
      </c>
      <c r="AI173" s="355"/>
      <c r="AJ173" s="219"/>
      <c r="AK173" s="219"/>
      <c r="AL173" s="219"/>
      <c r="AM173" s="399"/>
      <c r="AN173" s="399"/>
      <c r="AO173" s="399"/>
      <c r="AP173" s="399"/>
    </row>
    <row r="174" spans="1:42" hidden="1" x14ac:dyDescent="0.25">
      <c r="A174" s="330"/>
      <c r="B174" s="48" t="s">
        <v>168</v>
      </c>
      <c r="C174" s="78" t="s">
        <v>197</v>
      </c>
      <c r="D174" s="79"/>
      <c r="E174" s="86" t="s">
        <v>468</v>
      </c>
      <c r="F174" s="187" t="s">
        <v>400</v>
      </c>
      <c r="G174" s="176">
        <v>8712815756356</v>
      </c>
      <c r="H174" s="13">
        <v>1</v>
      </c>
      <c r="I174" s="13">
        <v>1</v>
      </c>
      <c r="J174" s="15" t="s">
        <v>198</v>
      </c>
      <c r="K174" s="5" t="s">
        <v>18</v>
      </c>
      <c r="L174" s="200"/>
      <c r="M174" s="356" t="s">
        <v>30</v>
      </c>
      <c r="N174" s="355" t="s">
        <v>855</v>
      </c>
      <c r="O174" s="355"/>
      <c r="P174" s="355">
        <v>0.14199999999999999</v>
      </c>
      <c r="Q174" s="355"/>
      <c r="R174" s="355">
        <v>35</v>
      </c>
      <c r="S174" s="355" t="s">
        <v>576</v>
      </c>
      <c r="T174" s="355" t="s">
        <v>612</v>
      </c>
      <c r="U174" s="355">
        <f t="shared" si="26"/>
        <v>0</v>
      </c>
      <c r="V174" s="355"/>
      <c r="W174" s="360" t="str">
        <f>IF(U174=0,"",COUNTIF(W$27:W173,"&gt;0")+1)</f>
        <v/>
      </c>
      <c r="X174" s="360" t="str">
        <f>IF(U174=0,"",COUNTIF(X$27:X173,"&gt;0")+1)</f>
        <v/>
      </c>
      <c r="Y174" s="355"/>
      <c r="Z174" s="359" t="str">
        <f t="shared" si="27"/>
        <v/>
      </c>
      <c r="AA174" s="359" t="str">
        <f t="shared" si="28"/>
        <v/>
      </c>
      <c r="AB174" s="359" t="str">
        <f t="shared" si="29"/>
        <v/>
      </c>
      <c r="AC174" s="355">
        <v>5.3999999999999999E-2</v>
      </c>
      <c r="AD174" s="355" t="str">
        <f t="shared" si="30"/>
        <v>YES</v>
      </c>
      <c r="AE174" s="355" t="str">
        <f t="shared" si="31"/>
        <v/>
      </c>
      <c r="AF174" s="355" t="str">
        <f t="shared" si="32"/>
        <v/>
      </c>
      <c r="AG174" s="355" t="str">
        <f t="shared" si="33"/>
        <v/>
      </c>
      <c r="AH174" s="355">
        <f t="shared" si="34"/>
        <v>0</v>
      </c>
      <c r="AI174" s="355"/>
      <c r="AJ174" s="219"/>
      <c r="AK174" s="219"/>
      <c r="AL174" s="219"/>
      <c r="AM174" s="399"/>
      <c r="AN174" s="399"/>
      <c r="AO174" s="399"/>
      <c r="AP174" s="399"/>
    </row>
    <row r="175" spans="1:42" hidden="1" x14ac:dyDescent="0.25">
      <c r="A175" s="330"/>
      <c r="B175" s="48" t="s">
        <v>168</v>
      </c>
      <c r="C175" s="78" t="s">
        <v>199</v>
      </c>
      <c r="D175" s="79"/>
      <c r="E175" s="86" t="s">
        <v>469</v>
      </c>
      <c r="F175" s="187" t="s">
        <v>400</v>
      </c>
      <c r="G175" s="176">
        <v>8712044890135</v>
      </c>
      <c r="H175" s="13">
        <v>1</v>
      </c>
      <c r="I175" s="13">
        <v>1</v>
      </c>
      <c r="J175" s="15" t="s">
        <v>200</v>
      </c>
      <c r="K175" s="5" t="s">
        <v>18</v>
      </c>
      <c r="L175" s="200"/>
      <c r="M175" s="356" t="s">
        <v>30</v>
      </c>
      <c r="N175" s="355" t="s">
        <v>856</v>
      </c>
      <c r="O175" s="355"/>
      <c r="P175" s="355">
        <v>0.14199999999999999</v>
      </c>
      <c r="Q175" s="355"/>
      <c r="R175" s="355">
        <v>35</v>
      </c>
      <c r="S175" s="355" t="s">
        <v>576</v>
      </c>
      <c r="T175" s="355" t="s">
        <v>612</v>
      </c>
      <c r="U175" s="355">
        <f t="shared" si="26"/>
        <v>0</v>
      </c>
      <c r="V175" s="355"/>
      <c r="W175" s="360" t="str">
        <f>IF(U175=0,"",COUNTIF(W$27:W174,"&gt;0")+1)</f>
        <v/>
      </c>
      <c r="X175" s="360" t="str">
        <f>IF(U175=0,"",COUNTIF(X$27:X174,"&gt;0")+1)</f>
        <v/>
      </c>
      <c r="Y175" s="355"/>
      <c r="Z175" s="359" t="str">
        <f t="shared" si="27"/>
        <v/>
      </c>
      <c r="AA175" s="359" t="str">
        <f t="shared" si="28"/>
        <v/>
      </c>
      <c r="AB175" s="359" t="str">
        <f t="shared" si="29"/>
        <v/>
      </c>
      <c r="AC175" s="355">
        <v>5.5E-2</v>
      </c>
      <c r="AD175" s="355" t="str">
        <f t="shared" si="30"/>
        <v>YES</v>
      </c>
      <c r="AE175" s="355" t="str">
        <f t="shared" si="31"/>
        <v/>
      </c>
      <c r="AF175" s="355" t="str">
        <f t="shared" si="32"/>
        <v/>
      </c>
      <c r="AG175" s="355" t="str">
        <f t="shared" si="33"/>
        <v/>
      </c>
      <c r="AH175" s="355">
        <f t="shared" si="34"/>
        <v>0</v>
      </c>
      <c r="AI175" s="355"/>
      <c r="AJ175" s="219"/>
      <c r="AK175" s="219"/>
      <c r="AL175" s="219"/>
      <c r="AM175" s="399"/>
      <c r="AN175" s="399"/>
      <c r="AO175" s="399"/>
      <c r="AP175" s="399"/>
    </row>
    <row r="176" spans="1:42" hidden="1" x14ac:dyDescent="0.25">
      <c r="A176" s="330"/>
      <c r="B176" s="48" t="s">
        <v>168</v>
      </c>
      <c r="C176" s="78" t="s">
        <v>133</v>
      </c>
      <c r="D176" s="79"/>
      <c r="E176" s="80" t="s">
        <v>134</v>
      </c>
      <c r="F176" s="180" t="s">
        <v>399</v>
      </c>
      <c r="G176" s="176">
        <v>8712815756202</v>
      </c>
      <c r="H176" s="18">
        <v>2</v>
      </c>
      <c r="I176" s="13">
        <v>1</v>
      </c>
      <c r="J176" s="15" t="s">
        <v>135</v>
      </c>
      <c r="K176" s="5" t="s">
        <v>26</v>
      </c>
      <c r="L176" s="200"/>
      <c r="M176" s="357" t="s">
        <v>19</v>
      </c>
      <c r="N176" s="355" t="s">
        <v>857</v>
      </c>
      <c r="O176" s="355">
        <v>99</v>
      </c>
      <c r="P176" s="355">
        <v>0.14199999999999999</v>
      </c>
      <c r="Q176" s="355"/>
      <c r="R176" s="355">
        <v>35</v>
      </c>
      <c r="S176" s="355" t="s">
        <v>576</v>
      </c>
      <c r="T176" s="355" t="s">
        <v>612</v>
      </c>
      <c r="U176" s="355">
        <f t="shared" si="26"/>
        <v>0</v>
      </c>
      <c r="V176" s="355"/>
      <c r="W176" s="360" t="str">
        <f>IF(U176=0,"",COUNTIF(W$27:W175,"&gt;0")+1)</f>
        <v/>
      </c>
      <c r="X176" s="360" t="str">
        <f>IF(U176=0,"",COUNTIF(X$27:X175,"&gt;0")+1)</f>
        <v/>
      </c>
      <c r="Y176" s="355"/>
      <c r="Z176" s="359">
        <f t="shared" si="27"/>
        <v>4.056</v>
      </c>
      <c r="AA176" s="359">
        <f t="shared" si="28"/>
        <v>4.056</v>
      </c>
      <c r="AB176" s="359" t="str">
        <f t="shared" si="29"/>
        <v/>
      </c>
      <c r="AC176" s="355">
        <v>5.6000000000000001E-2</v>
      </c>
      <c r="AD176" s="355" t="str">
        <f t="shared" si="30"/>
        <v/>
      </c>
      <c r="AE176" s="355">
        <f t="shared" si="31"/>
        <v>12</v>
      </c>
      <c r="AF176" s="355">
        <f t="shared" si="32"/>
        <v>12</v>
      </c>
      <c r="AG176" s="355" t="str">
        <f t="shared" si="33"/>
        <v/>
      </c>
      <c r="AH176" s="355">
        <f t="shared" si="34"/>
        <v>0</v>
      </c>
      <c r="AI176" s="355"/>
      <c r="AJ176" s="219"/>
      <c r="AK176" s="219"/>
      <c r="AL176" s="219"/>
      <c r="AM176" s="399"/>
      <c r="AN176" s="399"/>
      <c r="AO176" s="399"/>
      <c r="AP176" s="399"/>
    </row>
    <row r="177" spans="1:42" hidden="1" x14ac:dyDescent="0.25">
      <c r="A177" s="330"/>
      <c r="B177" s="48" t="s">
        <v>168</v>
      </c>
      <c r="C177" s="78" t="s">
        <v>136</v>
      </c>
      <c r="D177" s="79"/>
      <c r="E177" s="80" t="s">
        <v>470</v>
      </c>
      <c r="F177" s="180" t="s">
        <v>399</v>
      </c>
      <c r="G177" s="176">
        <v>8712815756219</v>
      </c>
      <c r="H177" s="18">
        <v>2</v>
      </c>
      <c r="I177" s="13">
        <v>1</v>
      </c>
      <c r="J177" s="15" t="s">
        <v>135</v>
      </c>
      <c r="K177" s="5" t="s">
        <v>26</v>
      </c>
      <c r="L177" s="200"/>
      <c r="M177" s="356" t="s">
        <v>30</v>
      </c>
      <c r="N177" s="355" t="s">
        <v>855</v>
      </c>
      <c r="O177" s="355"/>
      <c r="P177" s="355">
        <v>0.14199999999999999</v>
      </c>
      <c r="Q177" s="355"/>
      <c r="R177" s="355">
        <v>35</v>
      </c>
      <c r="S177" s="355" t="s">
        <v>576</v>
      </c>
      <c r="T177" s="355" t="s">
        <v>612</v>
      </c>
      <c r="U177" s="355">
        <f t="shared" si="26"/>
        <v>0</v>
      </c>
      <c r="V177" s="355"/>
      <c r="W177" s="360" t="str">
        <f>IF(U177=0,"",COUNTIF(W$27:W176,"&gt;0")+1)</f>
        <v/>
      </c>
      <c r="X177" s="360" t="str">
        <f>IF(U177=0,"",COUNTIF(X$27:X176,"&gt;0")+1)</f>
        <v/>
      </c>
      <c r="Y177" s="355"/>
      <c r="Z177" s="359" t="str">
        <f t="shared" si="27"/>
        <v/>
      </c>
      <c r="AA177" s="359" t="str">
        <f t="shared" si="28"/>
        <v/>
      </c>
      <c r="AB177" s="359" t="str">
        <f t="shared" si="29"/>
        <v/>
      </c>
      <c r="AC177" s="355">
        <v>5.7000000000000002E-2</v>
      </c>
      <c r="AD177" s="355" t="str">
        <f t="shared" si="30"/>
        <v>YES</v>
      </c>
      <c r="AE177" s="355" t="str">
        <f t="shared" si="31"/>
        <v/>
      </c>
      <c r="AF177" s="355" t="str">
        <f t="shared" si="32"/>
        <v/>
      </c>
      <c r="AG177" s="355" t="str">
        <f t="shared" si="33"/>
        <v/>
      </c>
      <c r="AH177" s="355">
        <f t="shared" si="34"/>
        <v>0</v>
      </c>
      <c r="AI177" s="355"/>
      <c r="AJ177" s="219" t="s">
        <v>169</v>
      </c>
      <c r="AK177" s="219"/>
      <c r="AL177" s="219"/>
      <c r="AM177" s="399"/>
      <c r="AN177" s="399"/>
      <c r="AO177" s="399"/>
      <c r="AP177" s="399"/>
    </row>
    <row r="178" spans="1:42" hidden="1" x14ac:dyDescent="0.25">
      <c r="A178" s="330"/>
      <c r="B178" s="48" t="s">
        <v>168</v>
      </c>
      <c r="C178" s="78" t="s">
        <v>139</v>
      </c>
      <c r="D178" s="79"/>
      <c r="E178" s="80" t="s">
        <v>140</v>
      </c>
      <c r="F178" s="180" t="s">
        <v>399</v>
      </c>
      <c r="G178" s="176">
        <v>8712044889788</v>
      </c>
      <c r="H178" s="13">
        <v>1</v>
      </c>
      <c r="I178" s="18">
        <v>2</v>
      </c>
      <c r="J178" s="15" t="s">
        <v>141</v>
      </c>
      <c r="K178" s="5" t="s">
        <v>26</v>
      </c>
      <c r="L178" s="200" t="s">
        <v>23</v>
      </c>
      <c r="M178" s="357" t="s">
        <v>19</v>
      </c>
      <c r="N178" s="355" t="s">
        <v>858</v>
      </c>
      <c r="O178" s="355">
        <v>100</v>
      </c>
      <c r="P178" s="355">
        <v>0.14199999999999999</v>
      </c>
      <c r="Q178" s="355"/>
      <c r="R178" s="355">
        <v>35</v>
      </c>
      <c r="S178" s="355" t="s">
        <v>576</v>
      </c>
      <c r="T178" s="355" t="s">
        <v>612</v>
      </c>
      <c r="U178" s="355">
        <f t="shared" si="26"/>
        <v>0</v>
      </c>
      <c r="V178" s="355"/>
      <c r="W178" s="360" t="str">
        <f>IF(U178=0,"",COUNTIF(W$27:W177,"&gt;0")+1)</f>
        <v/>
      </c>
      <c r="X178" s="360" t="str">
        <f>IF(U178=0,"",COUNTIF(X$27:X177,"&gt;0")+1)</f>
        <v/>
      </c>
      <c r="Y178" s="355"/>
      <c r="Z178" s="359">
        <f t="shared" si="27"/>
        <v>3.5579999999999998</v>
      </c>
      <c r="AA178" s="359">
        <f t="shared" si="28"/>
        <v>3.5579999999999998</v>
      </c>
      <c r="AB178" s="359" t="str">
        <f t="shared" si="29"/>
        <v/>
      </c>
      <c r="AC178" s="355">
        <v>5.8000000000000003E-2</v>
      </c>
      <c r="AD178" s="355" t="str">
        <f t="shared" si="30"/>
        <v/>
      </c>
      <c r="AE178" s="355">
        <f t="shared" si="31"/>
        <v>9</v>
      </c>
      <c r="AF178" s="355">
        <f t="shared" si="32"/>
        <v>9</v>
      </c>
      <c r="AG178" s="355" t="str">
        <f t="shared" si="33"/>
        <v/>
      </c>
      <c r="AH178" s="355">
        <f t="shared" si="34"/>
        <v>0</v>
      </c>
      <c r="AI178" s="355"/>
      <c r="AJ178" s="219"/>
      <c r="AK178" s="219"/>
      <c r="AL178" s="219"/>
      <c r="AM178" s="399"/>
      <c r="AN178" s="399"/>
      <c r="AO178" s="399"/>
      <c r="AP178" s="399"/>
    </row>
    <row r="179" spans="1:42" hidden="1" x14ac:dyDescent="0.25">
      <c r="A179" s="330"/>
      <c r="B179" s="48" t="s">
        <v>168</v>
      </c>
      <c r="C179" s="78" t="s">
        <v>142</v>
      </c>
      <c r="D179" s="79"/>
      <c r="E179" s="80" t="s">
        <v>143</v>
      </c>
      <c r="F179" s="180" t="s">
        <v>399</v>
      </c>
      <c r="G179" s="176">
        <v>8712044889795</v>
      </c>
      <c r="H179" s="13">
        <v>1</v>
      </c>
      <c r="I179" s="13">
        <v>1</v>
      </c>
      <c r="J179" s="15" t="s">
        <v>144</v>
      </c>
      <c r="K179" s="5" t="s">
        <v>26</v>
      </c>
      <c r="L179" s="200" t="s">
        <v>23</v>
      </c>
      <c r="M179" s="357" t="s">
        <v>19</v>
      </c>
      <c r="N179" s="355" t="s">
        <v>859</v>
      </c>
      <c r="O179" s="355">
        <v>101</v>
      </c>
      <c r="P179" s="355">
        <v>0.14199999999999999</v>
      </c>
      <c r="Q179" s="355"/>
      <c r="R179" s="355">
        <v>35</v>
      </c>
      <c r="S179" s="355" t="s">
        <v>576</v>
      </c>
      <c r="T179" s="355" t="s">
        <v>612</v>
      </c>
      <c r="U179" s="355">
        <f t="shared" si="26"/>
        <v>0</v>
      </c>
      <c r="V179" s="355"/>
      <c r="W179" s="360" t="str">
        <f>IF(U179=0,"",COUNTIF(W$27:W178,"&gt;0")+1)</f>
        <v/>
      </c>
      <c r="X179" s="360" t="str">
        <f>IF(U179=0,"",COUNTIF(X$27:X178,"&gt;0")+1)</f>
        <v/>
      </c>
      <c r="Y179" s="355"/>
      <c r="Z179" s="359">
        <f t="shared" si="27"/>
        <v>2.5590000000000002</v>
      </c>
      <c r="AA179" s="359">
        <f t="shared" si="28"/>
        <v>2.5590000000000002</v>
      </c>
      <c r="AB179" s="359" t="str">
        <f t="shared" si="29"/>
        <v/>
      </c>
      <c r="AC179" s="355">
        <v>5.8999999999999997E-2</v>
      </c>
      <c r="AD179" s="355" t="str">
        <f t="shared" si="30"/>
        <v/>
      </c>
      <c r="AE179" s="355">
        <f t="shared" si="31"/>
        <v>5</v>
      </c>
      <c r="AF179" s="355">
        <f t="shared" si="32"/>
        <v>5</v>
      </c>
      <c r="AG179" s="355" t="str">
        <f t="shared" si="33"/>
        <v/>
      </c>
      <c r="AH179" s="355">
        <f t="shared" si="34"/>
        <v>0</v>
      </c>
      <c r="AI179" s="355"/>
      <c r="AJ179" s="219"/>
      <c r="AK179" s="219"/>
      <c r="AL179" s="219"/>
      <c r="AM179" s="399"/>
      <c r="AN179" s="399"/>
      <c r="AO179" s="399"/>
      <c r="AP179" s="399"/>
    </row>
    <row r="180" spans="1:42" hidden="1" x14ac:dyDescent="0.25">
      <c r="A180" s="330"/>
      <c r="B180" s="48" t="s">
        <v>168</v>
      </c>
      <c r="C180" s="159" t="s">
        <v>541</v>
      </c>
      <c r="D180" s="79"/>
      <c r="E180" s="80" t="s">
        <v>374</v>
      </c>
      <c r="F180" s="180" t="s">
        <v>400</v>
      </c>
      <c r="G180" s="176">
        <v>8712815756363</v>
      </c>
      <c r="H180" s="18">
        <v>2</v>
      </c>
      <c r="I180" s="13">
        <v>1</v>
      </c>
      <c r="J180" s="136" t="s">
        <v>375</v>
      </c>
      <c r="K180" s="5" t="s">
        <v>26</v>
      </c>
      <c r="L180" s="200" t="s">
        <v>23</v>
      </c>
      <c r="M180" s="356" t="s">
        <v>30</v>
      </c>
      <c r="N180" s="355" t="s">
        <v>860</v>
      </c>
      <c r="O180" s="355"/>
      <c r="P180" s="355">
        <v>0.14199999999999999</v>
      </c>
      <c r="Q180" s="355"/>
      <c r="R180" s="355">
        <v>35</v>
      </c>
      <c r="S180" s="355" t="s">
        <v>576</v>
      </c>
      <c r="T180" s="355" t="s">
        <v>612</v>
      </c>
      <c r="U180" s="355">
        <f t="shared" si="26"/>
        <v>0</v>
      </c>
      <c r="V180" s="355"/>
      <c r="W180" s="360" t="str">
        <f>IF(U180=0,"",COUNTIF(W$27:W179,"&gt;0")+1)</f>
        <v/>
      </c>
      <c r="X180" s="360" t="str">
        <f>IF(U180=0,"",COUNTIF(X$27:X179,"&gt;0")+1)</f>
        <v/>
      </c>
      <c r="Y180" s="355"/>
      <c r="Z180" s="359" t="str">
        <f t="shared" si="27"/>
        <v/>
      </c>
      <c r="AA180" s="359" t="str">
        <f t="shared" si="28"/>
        <v/>
      </c>
      <c r="AB180" s="359" t="str">
        <f t="shared" si="29"/>
        <v/>
      </c>
      <c r="AC180" s="355">
        <v>0.06</v>
      </c>
      <c r="AD180" s="355" t="str">
        <f t="shared" si="30"/>
        <v>YES</v>
      </c>
      <c r="AE180" s="355" t="str">
        <f t="shared" si="31"/>
        <v/>
      </c>
      <c r="AF180" s="355" t="str">
        <f t="shared" si="32"/>
        <v/>
      </c>
      <c r="AG180" s="355" t="str">
        <f t="shared" si="33"/>
        <v/>
      </c>
      <c r="AH180" s="355">
        <f t="shared" si="34"/>
        <v>0</v>
      </c>
      <c r="AI180" s="355"/>
      <c r="AJ180" s="219"/>
      <c r="AK180" s="219"/>
      <c r="AL180" s="219"/>
      <c r="AM180" s="399"/>
      <c r="AN180" s="399"/>
      <c r="AO180" s="399"/>
      <c r="AP180" s="399"/>
    </row>
    <row r="181" spans="1:42" hidden="1" x14ac:dyDescent="0.25">
      <c r="A181" s="330"/>
      <c r="B181" s="48" t="s">
        <v>168</v>
      </c>
      <c r="C181" s="155" t="s">
        <v>346</v>
      </c>
      <c r="E181" s="80" t="s">
        <v>376</v>
      </c>
      <c r="F181" s="180" t="s">
        <v>400</v>
      </c>
      <c r="G181" s="176">
        <v>8712044890142</v>
      </c>
      <c r="H181" s="13">
        <v>1</v>
      </c>
      <c r="I181" s="13">
        <v>1</v>
      </c>
      <c r="J181" s="138" t="s">
        <v>377</v>
      </c>
      <c r="K181" s="5" t="s">
        <v>26</v>
      </c>
      <c r="L181" s="14"/>
      <c r="M181" s="356" t="s">
        <v>30</v>
      </c>
      <c r="N181" s="355" t="s">
        <v>861</v>
      </c>
      <c r="O181" s="355"/>
      <c r="P181" s="355">
        <v>0.14199999999999999</v>
      </c>
      <c r="Q181" s="355"/>
      <c r="R181" s="355">
        <v>35</v>
      </c>
      <c r="S181" s="355" t="s">
        <v>576</v>
      </c>
      <c r="T181" s="355" t="s">
        <v>612</v>
      </c>
      <c r="U181" s="355">
        <f t="shared" si="26"/>
        <v>0</v>
      </c>
      <c r="V181" s="355"/>
      <c r="W181" s="360" t="str">
        <f>IF(U181=0,"",COUNTIF(W$27:W180,"&gt;0")+1)</f>
        <v/>
      </c>
      <c r="X181" s="360" t="str">
        <f>IF(U181=0,"",COUNTIF(X$27:X180,"&gt;0")+1)</f>
        <v/>
      </c>
      <c r="Y181" s="355"/>
      <c r="Z181" s="359" t="str">
        <f t="shared" si="27"/>
        <v/>
      </c>
      <c r="AA181" s="359" t="str">
        <f t="shared" si="28"/>
        <v/>
      </c>
      <c r="AB181" s="359" t="str">
        <f t="shared" si="29"/>
        <v/>
      </c>
      <c r="AC181" s="355">
        <v>6.0999999999999999E-2</v>
      </c>
      <c r="AD181" s="355" t="str">
        <f t="shared" si="30"/>
        <v>YES</v>
      </c>
      <c r="AE181" s="355" t="str">
        <f t="shared" si="31"/>
        <v/>
      </c>
      <c r="AF181" s="355" t="str">
        <f t="shared" si="32"/>
        <v/>
      </c>
      <c r="AG181" s="355" t="str">
        <f t="shared" si="33"/>
        <v/>
      </c>
      <c r="AH181" s="355">
        <f t="shared" si="34"/>
        <v>0</v>
      </c>
      <c r="AI181" s="355"/>
      <c r="AJ181" s="219"/>
      <c r="AK181" s="219"/>
      <c r="AL181" s="219"/>
      <c r="AM181" s="399"/>
      <c r="AN181" s="399"/>
      <c r="AO181" s="399"/>
      <c r="AP181" s="399"/>
    </row>
    <row r="182" spans="1:42" hidden="1" x14ac:dyDescent="0.25">
      <c r="A182" s="330"/>
      <c r="B182" s="48" t="s">
        <v>168</v>
      </c>
      <c r="C182" s="78" t="s">
        <v>148</v>
      </c>
      <c r="D182" s="79"/>
      <c r="E182" s="80" t="s">
        <v>149</v>
      </c>
      <c r="F182" s="180" t="s">
        <v>400</v>
      </c>
      <c r="G182" s="176">
        <v>8712815756370</v>
      </c>
      <c r="H182" s="18">
        <v>2</v>
      </c>
      <c r="I182" s="13">
        <v>1</v>
      </c>
      <c r="J182" s="15" t="s">
        <v>150</v>
      </c>
      <c r="K182" s="5" t="s">
        <v>26</v>
      </c>
      <c r="L182" s="200"/>
      <c r="M182" s="356" t="s">
        <v>30</v>
      </c>
      <c r="N182" s="355" t="s">
        <v>862</v>
      </c>
      <c r="O182" s="355"/>
      <c r="P182" s="355">
        <v>0.14199999999999999</v>
      </c>
      <c r="Q182" s="355"/>
      <c r="R182" s="355">
        <v>35</v>
      </c>
      <c r="S182" s="355" t="s">
        <v>576</v>
      </c>
      <c r="T182" s="355" t="s">
        <v>612</v>
      </c>
      <c r="U182" s="355">
        <f t="shared" si="26"/>
        <v>0</v>
      </c>
      <c r="V182" s="355"/>
      <c r="W182" s="360" t="str">
        <f>IF(U182=0,"",COUNTIF(W$27:W181,"&gt;0")+1)</f>
        <v/>
      </c>
      <c r="X182" s="360" t="str">
        <f>IF(U182=0,"",COUNTIF(X$27:X181,"&gt;0")+1)</f>
        <v/>
      </c>
      <c r="Y182" s="355"/>
      <c r="Z182" s="359" t="str">
        <f t="shared" si="27"/>
        <v/>
      </c>
      <c r="AA182" s="359" t="str">
        <f t="shared" si="28"/>
        <v/>
      </c>
      <c r="AB182" s="359" t="str">
        <f t="shared" si="29"/>
        <v/>
      </c>
      <c r="AC182" s="355">
        <v>6.2E-2</v>
      </c>
      <c r="AD182" s="355" t="str">
        <f t="shared" si="30"/>
        <v>YES</v>
      </c>
      <c r="AE182" s="355" t="str">
        <f t="shared" si="31"/>
        <v/>
      </c>
      <c r="AF182" s="355" t="str">
        <f t="shared" si="32"/>
        <v/>
      </c>
      <c r="AG182" s="355" t="str">
        <f t="shared" si="33"/>
        <v/>
      </c>
      <c r="AH182" s="355">
        <f t="shared" si="34"/>
        <v>0</v>
      </c>
      <c r="AI182" s="355"/>
      <c r="AJ182" s="219"/>
      <c r="AK182" s="219"/>
      <c r="AL182" s="219"/>
      <c r="AM182" s="399"/>
      <c r="AN182" s="399"/>
      <c r="AO182" s="399"/>
      <c r="AP182" s="399"/>
    </row>
    <row r="183" spans="1:42" hidden="1" x14ac:dyDescent="0.25">
      <c r="A183" s="330"/>
      <c r="B183" s="48" t="s">
        <v>168</v>
      </c>
      <c r="C183" s="157" t="s">
        <v>347</v>
      </c>
      <c r="D183" s="79"/>
      <c r="E183" s="80" t="s">
        <v>471</v>
      </c>
      <c r="F183" s="180" t="s">
        <v>400</v>
      </c>
      <c r="G183" s="176">
        <v>8712815756233</v>
      </c>
      <c r="H183" s="18">
        <v>2</v>
      </c>
      <c r="I183" s="13">
        <v>1</v>
      </c>
      <c r="J183" s="105" t="s">
        <v>378</v>
      </c>
      <c r="K183" s="5" t="s">
        <v>26</v>
      </c>
      <c r="L183" s="200"/>
      <c r="M183" s="356" t="s">
        <v>30</v>
      </c>
      <c r="N183" s="355" t="s">
        <v>863</v>
      </c>
      <c r="O183" s="355"/>
      <c r="P183" s="355">
        <v>0.14199999999999999</v>
      </c>
      <c r="Q183" s="355"/>
      <c r="R183" s="355">
        <v>35</v>
      </c>
      <c r="S183" s="355" t="s">
        <v>576</v>
      </c>
      <c r="T183" s="355" t="s">
        <v>612</v>
      </c>
      <c r="U183" s="355">
        <f t="shared" si="26"/>
        <v>0</v>
      </c>
      <c r="V183" s="355"/>
      <c r="W183" s="360" t="str">
        <f>IF(U183=0,"",COUNTIF(W$27:W182,"&gt;0")+1)</f>
        <v/>
      </c>
      <c r="X183" s="360" t="str">
        <f>IF(U183=0,"",COUNTIF(X$27:X182,"&gt;0")+1)</f>
        <v/>
      </c>
      <c r="Y183" s="355"/>
      <c r="Z183" s="359" t="str">
        <f t="shared" si="27"/>
        <v/>
      </c>
      <c r="AA183" s="359" t="str">
        <f t="shared" si="28"/>
        <v/>
      </c>
      <c r="AB183" s="359" t="str">
        <f t="shared" si="29"/>
        <v/>
      </c>
      <c r="AC183" s="355">
        <v>6.3E-2</v>
      </c>
      <c r="AD183" s="355" t="str">
        <f t="shared" si="30"/>
        <v>YES</v>
      </c>
      <c r="AE183" s="355" t="str">
        <f t="shared" si="31"/>
        <v/>
      </c>
      <c r="AF183" s="355" t="str">
        <f t="shared" si="32"/>
        <v/>
      </c>
      <c r="AG183" s="355" t="str">
        <f t="shared" si="33"/>
        <v/>
      </c>
      <c r="AH183" s="355">
        <f t="shared" si="34"/>
        <v>0</v>
      </c>
      <c r="AI183" s="355"/>
      <c r="AJ183" s="219"/>
      <c r="AK183" s="219"/>
      <c r="AL183" s="219"/>
      <c r="AM183" s="399"/>
      <c r="AN183" s="399"/>
      <c r="AO183" s="399"/>
      <c r="AP183" s="399"/>
    </row>
    <row r="184" spans="1:42" hidden="1" x14ac:dyDescent="0.25">
      <c r="A184" s="330"/>
      <c r="B184" s="48" t="s">
        <v>168</v>
      </c>
      <c r="C184" s="156" t="s">
        <v>529</v>
      </c>
      <c r="D184" s="76"/>
      <c r="E184" s="80" t="s">
        <v>471</v>
      </c>
      <c r="F184" s="180" t="s">
        <v>400</v>
      </c>
      <c r="G184" s="176">
        <v>8712815756226</v>
      </c>
      <c r="H184" s="18">
        <v>2</v>
      </c>
      <c r="I184" s="13">
        <v>1</v>
      </c>
      <c r="J184" s="136" t="s">
        <v>379</v>
      </c>
      <c r="K184" s="5" t="s">
        <v>26</v>
      </c>
      <c r="L184" s="14"/>
      <c r="M184" s="356" t="s">
        <v>30</v>
      </c>
      <c r="N184" s="355" t="s">
        <v>864</v>
      </c>
      <c r="O184" s="355"/>
      <c r="P184" s="355">
        <v>0.14199999999999999</v>
      </c>
      <c r="Q184" s="355"/>
      <c r="R184" s="355">
        <v>35</v>
      </c>
      <c r="S184" s="355" t="s">
        <v>576</v>
      </c>
      <c r="T184" s="355" t="s">
        <v>612</v>
      </c>
      <c r="U184" s="355">
        <f t="shared" si="26"/>
        <v>0</v>
      </c>
      <c r="V184" s="355"/>
      <c r="W184" s="360" t="str">
        <f>IF(U184=0,"",COUNTIF(W$27:W183,"&gt;0")+1)</f>
        <v/>
      </c>
      <c r="X184" s="360" t="str">
        <f>IF(U184=0,"",COUNTIF(X$27:X183,"&gt;0")+1)</f>
        <v/>
      </c>
      <c r="Y184" s="355"/>
      <c r="Z184" s="359" t="str">
        <f t="shared" si="27"/>
        <v/>
      </c>
      <c r="AA184" s="359" t="str">
        <f t="shared" si="28"/>
        <v/>
      </c>
      <c r="AB184" s="359" t="str">
        <f t="shared" si="29"/>
        <v/>
      </c>
      <c r="AC184" s="355">
        <v>6.4000000000000001E-2</v>
      </c>
      <c r="AD184" s="355" t="str">
        <f t="shared" si="30"/>
        <v>YES</v>
      </c>
      <c r="AE184" s="355" t="str">
        <f t="shared" si="31"/>
        <v/>
      </c>
      <c r="AF184" s="355" t="str">
        <f t="shared" si="32"/>
        <v/>
      </c>
      <c r="AG184" s="355" t="str">
        <f t="shared" si="33"/>
        <v/>
      </c>
      <c r="AH184" s="355">
        <f t="shared" si="34"/>
        <v>0</v>
      </c>
      <c r="AI184" s="355"/>
      <c r="AJ184" s="219"/>
      <c r="AK184" s="219"/>
      <c r="AL184" s="219"/>
      <c r="AM184" s="399"/>
      <c r="AN184" s="399"/>
      <c r="AO184" s="399"/>
      <c r="AP184" s="399"/>
    </row>
    <row r="185" spans="1:42" hidden="1" x14ac:dyDescent="0.25">
      <c r="A185" s="330"/>
      <c r="B185" s="48" t="s">
        <v>168</v>
      </c>
      <c r="C185" s="83" t="s">
        <v>542</v>
      </c>
      <c r="D185" s="84"/>
      <c r="E185" s="86" t="s">
        <v>201</v>
      </c>
      <c r="F185" s="187" t="s">
        <v>400</v>
      </c>
      <c r="G185" s="176">
        <v>8712044890180</v>
      </c>
      <c r="H185" s="13">
        <v>1</v>
      </c>
      <c r="I185" s="18">
        <v>2</v>
      </c>
      <c r="J185" s="15" t="s">
        <v>202</v>
      </c>
      <c r="K185" s="5" t="s">
        <v>18</v>
      </c>
      <c r="L185" s="200"/>
      <c r="M185" s="356" t="s">
        <v>30</v>
      </c>
      <c r="N185" s="355" t="s">
        <v>865</v>
      </c>
      <c r="O185" s="355"/>
      <c r="P185" s="355">
        <v>0.14199999999999999</v>
      </c>
      <c r="Q185" s="355"/>
      <c r="R185" s="355">
        <v>35</v>
      </c>
      <c r="S185" s="355" t="s">
        <v>576</v>
      </c>
      <c r="T185" s="355" t="s">
        <v>612</v>
      </c>
      <c r="U185" s="355">
        <f t="shared" si="26"/>
        <v>0</v>
      </c>
      <c r="V185" s="355"/>
      <c r="W185" s="360" t="str">
        <f>IF(U185=0,"",COUNTIF(W$27:W184,"&gt;0")+1)</f>
        <v/>
      </c>
      <c r="X185" s="360" t="str">
        <f>IF(U185=0,"",COUNTIF(X$27:X184,"&gt;0")+1)</f>
        <v/>
      </c>
      <c r="Y185" s="355"/>
      <c r="Z185" s="359" t="str">
        <f t="shared" si="27"/>
        <v/>
      </c>
      <c r="AA185" s="359" t="str">
        <f t="shared" si="28"/>
        <v/>
      </c>
      <c r="AB185" s="359" t="str">
        <f t="shared" si="29"/>
        <v/>
      </c>
      <c r="AC185" s="355">
        <v>6.5000000000000002E-2</v>
      </c>
      <c r="AD185" s="355" t="str">
        <f t="shared" si="30"/>
        <v>YES</v>
      </c>
      <c r="AE185" s="355" t="str">
        <f t="shared" si="31"/>
        <v/>
      </c>
      <c r="AF185" s="355" t="str">
        <f t="shared" si="32"/>
        <v/>
      </c>
      <c r="AG185" s="355" t="str">
        <f t="shared" si="33"/>
        <v/>
      </c>
      <c r="AH185" s="355">
        <f t="shared" si="34"/>
        <v>0</v>
      </c>
      <c r="AI185" s="355"/>
      <c r="AJ185" s="219"/>
      <c r="AK185" s="219"/>
      <c r="AL185" s="219"/>
      <c r="AM185" s="399"/>
      <c r="AN185" s="399"/>
      <c r="AO185" s="399"/>
      <c r="AP185" s="399"/>
    </row>
    <row r="186" spans="1:42" hidden="1" x14ac:dyDescent="0.25">
      <c r="A186" s="330"/>
      <c r="B186" s="48" t="s">
        <v>168</v>
      </c>
      <c r="C186" s="47" t="s">
        <v>203</v>
      </c>
      <c r="D186" s="83"/>
      <c r="E186" s="86" t="s">
        <v>326</v>
      </c>
      <c r="F186" s="188" t="s">
        <v>399</v>
      </c>
      <c r="G186" s="176">
        <v>8712044889832</v>
      </c>
      <c r="H186" s="18">
        <v>2</v>
      </c>
      <c r="I186" s="13">
        <v>1</v>
      </c>
      <c r="J186" s="15" t="s">
        <v>204</v>
      </c>
      <c r="K186" s="5" t="s">
        <v>18</v>
      </c>
      <c r="L186" s="200" t="s">
        <v>23</v>
      </c>
      <c r="M186" s="356" t="s">
        <v>30</v>
      </c>
      <c r="N186" s="355" t="s">
        <v>866</v>
      </c>
      <c r="O186" s="355"/>
      <c r="P186" s="355">
        <v>0.14199999999999999</v>
      </c>
      <c r="Q186" s="355"/>
      <c r="R186" s="355">
        <v>35</v>
      </c>
      <c r="S186" s="355" t="s">
        <v>576</v>
      </c>
      <c r="T186" s="355" t="s">
        <v>612</v>
      </c>
      <c r="U186" s="355">
        <f t="shared" ref="U186:U194" si="35">A186+AH186</f>
        <v>0</v>
      </c>
      <c r="V186" s="355"/>
      <c r="W186" s="360" t="str">
        <f>IF(U186=0,"",COUNTIF(W$27:W185,"&gt;0")+1)</f>
        <v/>
      </c>
      <c r="X186" s="360" t="str">
        <f>IF(U186=0,"",COUNTIF(X$27:X185,"&gt;0")+1)</f>
        <v/>
      </c>
      <c r="Y186" s="355"/>
      <c r="Z186" s="359" t="str">
        <f t="shared" ref="Z186:Z194" si="36">IF(AD186&lt;&gt;"YES",H186*1.5+I186+AC186,"")</f>
        <v/>
      </c>
      <c r="AA186" s="359" t="str">
        <f t="shared" ref="AA186:AA194" si="37">IF(F186="I",Z186,"")</f>
        <v/>
      </c>
      <c r="AB186" s="359" t="str">
        <f t="shared" ref="AB186:AB194" si="38">IF(F186="J",Z186,"")</f>
        <v/>
      </c>
      <c r="AC186" s="355">
        <v>6.6000000000000003E-2</v>
      </c>
      <c r="AD186" s="355" t="str">
        <f t="shared" ref="AD186:AD194" si="39">IF(M186="N","YES","")</f>
        <v>YES</v>
      </c>
      <c r="AE186" s="355" t="str">
        <f t="shared" ref="AE186:AE193" si="40">IFERROR(RANK(Z186,Z$121:Z$194,1),"")</f>
        <v/>
      </c>
      <c r="AF186" s="355" t="str">
        <f t="shared" ref="AF186:AF194" si="41">IFERROR(RANK(AA186,AA$121:AA$194,1),"")</f>
        <v/>
      </c>
      <c r="AG186" s="355" t="str">
        <f t="shared" ref="AG186:AG194" si="42">IFERROR(RANK(AB186,AB$121:AB$194,1),"")</f>
        <v/>
      </c>
      <c r="AH186" s="355">
        <f t="shared" ref="AH186:AH194" si="43">IF(AND(U$118&lt;&gt;"",AE186&lt;&gt;""),IF(AE186&lt;=U$118-(AH$115+AH$116)*AI$114,1+AI$114,AI$114),0)+IF(AND(U$119&lt;&gt;"",AF186&lt;&gt;""),IF(AF186&lt;=U$119-AH$115*AI$115,1+AI$115,AI$115),0)+IF(AND(U$120&lt;&gt;"",AG186&lt;&gt;""),IF(AG186&lt;=U$120-AH$116*AI$116,1+AI$116,AI$116),0)</f>
        <v>0</v>
      </c>
      <c r="AI186" s="355"/>
      <c r="AJ186" s="219"/>
      <c r="AK186" s="219"/>
      <c r="AL186" s="219"/>
      <c r="AM186" s="399"/>
      <c r="AN186" s="399"/>
      <c r="AO186" s="399"/>
      <c r="AP186" s="399"/>
    </row>
    <row r="187" spans="1:42" hidden="1" x14ac:dyDescent="0.25">
      <c r="A187" s="330"/>
      <c r="B187" s="48" t="s">
        <v>168</v>
      </c>
      <c r="C187" s="160" t="s">
        <v>397</v>
      </c>
      <c r="D187" s="84"/>
      <c r="E187" s="86" t="s">
        <v>472</v>
      </c>
      <c r="F187" s="187" t="s">
        <v>400</v>
      </c>
      <c r="G187" s="176">
        <v>8712044890203</v>
      </c>
      <c r="H187" s="13">
        <v>1</v>
      </c>
      <c r="I187" s="13">
        <v>1</v>
      </c>
      <c r="J187" s="15" t="s">
        <v>408</v>
      </c>
      <c r="K187" s="5" t="s">
        <v>18</v>
      </c>
      <c r="L187" s="200"/>
      <c r="M187" s="356" t="s">
        <v>30</v>
      </c>
      <c r="N187" s="355" t="s">
        <v>867</v>
      </c>
      <c r="O187" s="355"/>
      <c r="P187" s="355">
        <v>0.14199999999999999</v>
      </c>
      <c r="Q187" s="355"/>
      <c r="R187" s="355">
        <v>35</v>
      </c>
      <c r="S187" s="355" t="s">
        <v>576</v>
      </c>
      <c r="T187" s="355" t="s">
        <v>612</v>
      </c>
      <c r="U187" s="355">
        <f t="shared" si="35"/>
        <v>0</v>
      </c>
      <c r="V187" s="355"/>
      <c r="W187" s="360" t="str">
        <f>IF(U187=0,"",COUNTIF(W$27:W186,"&gt;0")+1)</f>
        <v/>
      </c>
      <c r="X187" s="360" t="str">
        <f>IF(U187=0,"",COUNTIF(X$27:X186,"&gt;0")+1)</f>
        <v/>
      </c>
      <c r="Y187" s="355"/>
      <c r="Z187" s="359" t="str">
        <f t="shared" si="36"/>
        <v/>
      </c>
      <c r="AA187" s="359" t="str">
        <f t="shared" si="37"/>
        <v/>
      </c>
      <c r="AB187" s="359" t="str">
        <f t="shared" si="38"/>
        <v/>
      </c>
      <c r="AC187" s="355">
        <v>6.7000000000000004E-2</v>
      </c>
      <c r="AD187" s="355" t="str">
        <f t="shared" si="39"/>
        <v>YES</v>
      </c>
      <c r="AE187" s="355" t="str">
        <f t="shared" si="40"/>
        <v/>
      </c>
      <c r="AF187" s="355" t="str">
        <f t="shared" si="41"/>
        <v/>
      </c>
      <c r="AG187" s="355" t="str">
        <f t="shared" si="42"/>
        <v/>
      </c>
      <c r="AH187" s="355">
        <f t="shared" si="43"/>
        <v>0</v>
      </c>
      <c r="AI187" s="355"/>
      <c r="AJ187" s="219"/>
      <c r="AK187" s="219"/>
      <c r="AL187" s="219"/>
      <c r="AM187" s="399"/>
      <c r="AN187" s="399"/>
      <c r="AO187" s="399"/>
      <c r="AP187" s="399"/>
    </row>
    <row r="188" spans="1:42" hidden="1" x14ac:dyDescent="0.25">
      <c r="A188" s="330"/>
      <c r="B188" s="48" t="s">
        <v>168</v>
      </c>
      <c r="C188" s="47" t="s">
        <v>205</v>
      </c>
      <c r="D188" s="84"/>
      <c r="E188" s="86" t="s">
        <v>206</v>
      </c>
      <c r="F188" s="187" t="s">
        <v>400</v>
      </c>
      <c r="G188" s="176">
        <v>8718226850508</v>
      </c>
      <c r="H188" s="18">
        <v>2</v>
      </c>
      <c r="I188" s="18">
        <v>2</v>
      </c>
      <c r="J188" s="15" t="s">
        <v>207</v>
      </c>
      <c r="K188" s="5" t="s">
        <v>26</v>
      </c>
      <c r="L188" s="200"/>
      <c r="M188" s="356" t="s">
        <v>30</v>
      </c>
      <c r="N188" s="355" t="s">
        <v>868</v>
      </c>
      <c r="O188" s="355"/>
      <c r="P188" s="355">
        <v>0.14199999999999999</v>
      </c>
      <c r="Q188" s="355"/>
      <c r="R188" s="355">
        <v>35</v>
      </c>
      <c r="S188" s="355" t="s">
        <v>576</v>
      </c>
      <c r="T188" s="355" t="s">
        <v>612</v>
      </c>
      <c r="U188" s="355">
        <f t="shared" si="35"/>
        <v>0</v>
      </c>
      <c r="V188" s="355"/>
      <c r="W188" s="360" t="str">
        <f>IF(U188=0,"",COUNTIF(W$27:W187,"&gt;0")+1)</f>
        <v/>
      </c>
      <c r="X188" s="360" t="str">
        <f>IF(U188=0,"",COUNTIF(X$27:X187,"&gt;0")+1)</f>
        <v/>
      </c>
      <c r="Y188" s="355"/>
      <c r="Z188" s="359" t="str">
        <f t="shared" si="36"/>
        <v/>
      </c>
      <c r="AA188" s="359" t="str">
        <f t="shared" si="37"/>
        <v/>
      </c>
      <c r="AB188" s="359" t="str">
        <f t="shared" si="38"/>
        <v/>
      </c>
      <c r="AC188" s="355">
        <v>6.8000000000000005E-2</v>
      </c>
      <c r="AD188" s="355" t="str">
        <f t="shared" si="39"/>
        <v>YES</v>
      </c>
      <c r="AE188" s="355" t="str">
        <f t="shared" si="40"/>
        <v/>
      </c>
      <c r="AF188" s="355" t="str">
        <f t="shared" si="41"/>
        <v/>
      </c>
      <c r="AG188" s="355" t="str">
        <f t="shared" si="42"/>
        <v/>
      </c>
      <c r="AH188" s="355">
        <f t="shared" si="43"/>
        <v>0</v>
      </c>
      <c r="AI188" s="355"/>
      <c r="AJ188" s="219"/>
      <c r="AK188" s="219"/>
      <c r="AL188" s="219"/>
      <c r="AM188" s="399"/>
      <c r="AN188" s="399"/>
      <c r="AO188" s="399"/>
      <c r="AP188" s="399"/>
    </row>
    <row r="189" spans="1:42" hidden="1" x14ac:dyDescent="0.25">
      <c r="A189" s="330"/>
      <c r="B189" s="48" t="s">
        <v>168</v>
      </c>
      <c r="C189" s="78" t="s">
        <v>152</v>
      </c>
      <c r="D189" s="79"/>
      <c r="E189" s="80" t="s">
        <v>153</v>
      </c>
      <c r="F189" s="180" t="s">
        <v>399</v>
      </c>
      <c r="G189" s="176">
        <v>8712044889863</v>
      </c>
      <c r="H189" s="18">
        <v>2</v>
      </c>
      <c r="I189" s="13">
        <v>1</v>
      </c>
      <c r="J189" s="15" t="s">
        <v>151</v>
      </c>
      <c r="K189" s="5" t="s">
        <v>18</v>
      </c>
      <c r="L189" s="200" t="s">
        <v>23</v>
      </c>
      <c r="M189" s="356" t="s">
        <v>30</v>
      </c>
      <c r="N189" s="355" t="s">
        <v>869</v>
      </c>
      <c r="O189" s="355"/>
      <c r="P189" s="355">
        <v>0.14199999999999999</v>
      </c>
      <c r="Q189" s="355"/>
      <c r="R189" s="355">
        <v>35</v>
      </c>
      <c r="S189" s="355" t="s">
        <v>576</v>
      </c>
      <c r="T189" s="355" t="s">
        <v>612</v>
      </c>
      <c r="U189" s="355">
        <f t="shared" si="35"/>
        <v>0</v>
      </c>
      <c r="V189" s="355"/>
      <c r="W189" s="360" t="str">
        <f>IF(U189=0,"",COUNTIF(W$27:W188,"&gt;0")+1)</f>
        <v/>
      </c>
      <c r="X189" s="360" t="str">
        <f>IF(U189=0,"",COUNTIF(X$27:X188,"&gt;0")+1)</f>
        <v/>
      </c>
      <c r="Y189" s="355"/>
      <c r="Z189" s="359" t="str">
        <f t="shared" si="36"/>
        <v/>
      </c>
      <c r="AA189" s="359" t="str">
        <f t="shared" si="37"/>
        <v/>
      </c>
      <c r="AB189" s="359" t="str">
        <f t="shared" si="38"/>
        <v/>
      </c>
      <c r="AC189" s="355">
        <v>6.9000000000000006E-2</v>
      </c>
      <c r="AD189" s="355" t="str">
        <f t="shared" si="39"/>
        <v>YES</v>
      </c>
      <c r="AE189" s="355" t="str">
        <f t="shared" si="40"/>
        <v/>
      </c>
      <c r="AF189" s="355" t="str">
        <f t="shared" si="41"/>
        <v/>
      </c>
      <c r="AG189" s="355" t="str">
        <f t="shared" si="42"/>
        <v/>
      </c>
      <c r="AH189" s="355">
        <f t="shared" si="43"/>
        <v>0</v>
      </c>
      <c r="AI189" s="355"/>
      <c r="AJ189" s="219"/>
      <c r="AK189" s="219"/>
      <c r="AL189" s="219"/>
      <c r="AM189" s="399"/>
      <c r="AN189" s="399"/>
      <c r="AO189" s="399"/>
      <c r="AP189" s="399"/>
    </row>
    <row r="190" spans="1:42" hidden="1" x14ac:dyDescent="0.25">
      <c r="A190" s="330"/>
      <c r="B190" s="48" t="s">
        <v>168</v>
      </c>
      <c r="C190" s="160" t="s">
        <v>543</v>
      </c>
      <c r="D190" s="79"/>
      <c r="E190" s="80" t="s">
        <v>409</v>
      </c>
      <c r="F190" s="180" t="s">
        <v>400</v>
      </c>
      <c r="G190" s="176">
        <v>8712044890210</v>
      </c>
      <c r="H190" s="19">
        <v>3</v>
      </c>
      <c r="I190" s="13">
        <v>1</v>
      </c>
      <c r="J190" s="15" t="s">
        <v>410</v>
      </c>
      <c r="K190" s="5" t="s">
        <v>18</v>
      </c>
      <c r="L190" s="200"/>
      <c r="M190" s="356" t="s">
        <v>30</v>
      </c>
      <c r="N190" s="355" t="s">
        <v>870</v>
      </c>
      <c r="O190" s="355"/>
      <c r="P190" s="355">
        <v>0.14199999999999999</v>
      </c>
      <c r="Q190" s="355"/>
      <c r="R190" s="355">
        <v>35</v>
      </c>
      <c r="S190" s="355" t="s">
        <v>576</v>
      </c>
      <c r="T190" s="355" t="s">
        <v>612</v>
      </c>
      <c r="U190" s="355">
        <f t="shared" si="35"/>
        <v>0</v>
      </c>
      <c r="V190" s="355"/>
      <c r="W190" s="360" t="str">
        <f>IF(U190=0,"",COUNTIF(W$27:W189,"&gt;0")+1)</f>
        <v/>
      </c>
      <c r="X190" s="360" t="str">
        <f>IF(U190=0,"",COUNTIF(X$27:X189,"&gt;0")+1)</f>
        <v/>
      </c>
      <c r="Y190" s="355"/>
      <c r="Z190" s="359" t="str">
        <f t="shared" si="36"/>
        <v/>
      </c>
      <c r="AA190" s="359" t="str">
        <f t="shared" si="37"/>
        <v/>
      </c>
      <c r="AB190" s="359" t="str">
        <f t="shared" si="38"/>
        <v/>
      </c>
      <c r="AC190" s="355">
        <v>7.0000000000000007E-2</v>
      </c>
      <c r="AD190" s="355" t="str">
        <f t="shared" si="39"/>
        <v>YES</v>
      </c>
      <c r="AE190" s="355" t="str">
        <f t="shared" si="40"/>
        <v/>
      </c>
      <c r="AF190" s="355" t="str">
        <f t="shared" si="41"/>
        <v/>
      </c>
      <c r="AG190" s="355" t="str">
        <f t="shared" si="42"/>
        <v/>
      </c>
      <c r="AH190" s="355">
        <f t="shared" si="43"/>
        <v>0</v>
      </c>
      <c r="AI190" s="355"/>
      <c r="AJ190" s="219"/>
      <c r="AK190" s="219"/>
      <c r="AL190" s="219"/>
      <c r="AM190" s="399"/>
      <c r="AN190" s="399"/>
      <c r="AO190" s="399"/>
      <c r="AP190" s="399"/>
    </row>
    <row r="191" spans="1:42" hidden="1" x14ac:dyDescent="0.25">
      <c r="A191" s="330"/>
      <c r="B191" s="48" t="s">
        <v>168</v>
      </c>
      <c r="C191" s="78" t="s">
        <v>155</v>
      </c>
      <c r="D191" s="79"/>
      <c r="E191" s="80" t="s">
        <v>156</v>
      </c>
      <c r="F191" s="180" t="s">
        <v>399</v>
      </c>
      <c r="G191" s="176">
        <v>8712044889887</v>
      </c>
      <c r="H191" s="18">
        <v>2</v>
      </c>
      <c r="I191" s="18">
        <v>2</v>
      </c>
      <c r="J191" s="15" t="s">
        <v>157</v>
      </c>
      <c r="K191" s="5" t="s">
        <v>18</v>
      </c>
      <c r="L191" s="200"/>
      <c r="M191" s="356" t="s">
        <v>30</v>
      </c>
      <c r="N191" s="355" t="s">
        <v>871</v>
      </c>
      <c r="O191" s="355"/>
      <c r="P191" s="355">
        <v>0.14199999999999999</v>
      </c>
      <c r="Q191" s="355"/>
      <c r="R191" s="355">
        <v>35</v>
      </c>
      <c r="S191" s="355" t="s">
        <v>576</v>
      </c>
      <c r="T191" s="355" t="s">
        <v>612</v>
      </c>
      <c r="U191" s="355">
        <f t="shared" si="35"/>
        <v>0</v>
      </c>
      <c r="V191" s="355"/>
      <c r="W191" s="360" t="str">
        <f>IF(U191=0,"",COUNTIF(W$27:W190,"&gt;0")+1)</f>
        <v/>
      </c>
      <c r="X191" s="360" t="str">
        <f>IF(U191=0,"",COUNTIF(X$27:X190,"&gt;0")+1)</f>
        <v/>
      </c>
      <c r="Y191" s="355"/>
      <c r="Z191" s="359" t="str">
        <f t="shared" si="36"/>
        <v/>
      </c>
      <c r="AA191" s="359" t="str">
        <f t="shared" si="37"/>
        <v/>
      </c>
      <c r="AB191" s="359" t="str">
        <f t="shared" si="38"/>
        <v/>
      </c>
      <c r="AC191" s="355">
        <v>7.0999999999999994E-2</v>
      </c>
      <c r="AD191" s="355" t="str">
        <f t="shared" si="39"/>
        <v>YES</v>
      </c>
      <c r="AE191" s="355" t="str">
        <f t="shared" si="40"/>
        <v/>
      </c>
      <c r="AF191" s="355" t="str">
        <f t="shared" si="41"/>
        <v/>
      </c>
      <c r="AG191" s="355" t="str">
        <f t="shared" si="42"/>
        <v/>
      </c>
      <c r="AH191" s="355">
        <f t="shared" si="43"/>
        <v>0</v>
      </c>
      <c r="AI191" s="355"/>
      <c r="AJ191" s="219"/>
      <c r="AK191" s="219"/>
      <c r="AL191" s="219"/>
      <c r="AM191" s="399"/>
      <c r="AN191" s="399"/>
      <c r="AO191" s="399"/>
      <c r="AP191" s="399"/>
    </row>
    <row r="192" spans="1:42" hidden="1" x14ac:dyDescent="0.25">
      <c r="A192" s="330"/>
      <c r="B192" s="48" t="s">
        <v>168</v>
      </c>
      <c r="C192" s="78" t="s">
        <v>158</v>
      </c>
      <c r="D192" s="79"/>
      <c r="E192" s="80" t="s">
        <v>159</v>
      </c>
      <c r="F192" s="180" t="s">
        <v>399</v>
      </c>
      <c r="G192" s="177">
        <v>8712044889900</v>
      </c>
      <c r="H192" s="13">
        <v>1</v>
      </c>
      <c r="I192" s="13">
        <v>1</v>
      </c>
      <c r="J192" s="15" t="s">
        <v>160</v>
      </c>
      <c r="K192" s="5" t="s">
        <v>26</v>
      </c>
      <c r="L192" s="200" t="s">
        <v>23</v>
      </c>
      <c r="M192" s="356" t="s">
        <v>30</v>
      </c>
      <c r="N192" s="355" t="s">
        <v>872</v>
      </c>
      <c r="O192" s="355"/>
      <c r="P192" s="355">
        <v>0.14199999999999999</v>
      </c>
      <c r="Q192" s="355"/>
      <c r="R192" s="355">
        <v>35</v>
      </c>
      <c r="S192" s="355" t="s">
        <v>576</v>
      </c>
      <c r="T192" s="355" t="s">
        <v>612</v>
      </c>
      <c r="U192" s="355">
        <f t="shared" si="35"/>
        <v>0</v>
      </c>
      <c r="V192" s="355"/>
      <c r="W192" s="360" t="str">
        <f>IF(U192=0,"",COUNTIF(W$27:W191,"&gt;0")+1)</f>
        <v/>
      </c>
      <c r="X192" s="360" t="str">
        <f>IF(U192=0,"",COUNTIF(X$27:X191,"&gt;0")+1)</f>
        <v/>
      </c>
      <c r="Y192" s="355"/>
      <c r="Z192" s="359" t="str">
        <f t="shared" si="36"/>
        <v/>
      </c>
      <c r="AA192" s="359" t="str">
        <f t="shared" si="37"/>
        <v/>
      </c>
      <c r="AB192" s="359" t="str">
        <f t="shared" si="38"/>
        <v/>
      </c>
      <c r="AC192" s="355">
        <v>7.1999999999999995E-2</v>
      </c>
      <c r="AD192" s="355" t="str">
        <f t="shared" si="39"/>
        <v>YES</v>
      </c>
      <c r="AE192" s="355" t="str">
        <f t="shared" si="40"/>
        <v/>
      </c>
      <c r="AF192" s="355" t="str">
        <f t="shared" si="41"/>
        <v/>
      </c>
      <c r="AG192" s="355" t="str">
        <f t="shared" si="42"/>
        <v/>
      </c>
      <c r="AH192" s="355">
        <f t="shared" si="43"/>
        <v>0</v>
      </c>
      <c r="AI192" s="355"/>
      <c r="AJ192" s="219"/>
      <c r="AK192" s="219"/>
      <c r="AL192" s="219"/>
      <c r="AM192" s="399"/>
      <c r="AN192" s="399"/>
      <c r="AO192" s="399"/>
      <c r="AP192" s="399"/>
    </row>
    <row r="193" spans="1:42" hidden="1" x14ac:dyDescent="0.25">
      <c r="A193" s="330"/>
      <c r="B193" s="48" t="s">
        <v>168</v>
      </c>
      <c r="C193" s="78" t="s">
        <v>161</v>
      </c>
      <c r="D193" s="79"/>
      <c r="E193" s="80" t="s">
        <v>327</v>
      </c>
      <c r="F193" s="180" t="s">
        <v>400</v>
      </c>
      <c r="G193" s="176">
        <v>8712044890227</v>
      </c>
      <c r="H193" s="13">
        <v>1</v>
      </c>
      <c r="I193" s="18">
        <v>2</v>
      </c>
      <c r="J193" s="122" t="s">
        <v>411</v>
      </c>
      <c r="K193" s="5" t="s">
        <v>26</v>
      </c>
      <c r="L193" s="200"/>
      <c r="M193" s="356" t="s">
        <v>30</v>
      </c>
      <c r="N193" s="355" t="s">
        <v>873</v>
      </c>
      <c r="O193" s="355"/>
      <c r="P193" s="355">
        <v>0.14199999999999999</v>
      </c>
      <c r="Q193" s="355"/>
      <c r="R193" s="355">
        <v>35</v>
      </c>
      <c r="S193" s="355" t="s">
        <v>576</v>
      </c>
      <c r="T193" s="355" t="s">
        <v>612</v>
      </c>
      <c r="U193" s="355">
        <f t="shared" si="35"/>
        <v>0</v>
      </c>
      <c r="V193" s="355"/>
      <c r="W193" s="360" t="str">
        <f>IF(U193=0,"",COUNTIF(W$27:W192,"&gt;0")+1)</f>
        <v/>
      </c>
      <c r="X193" s="360" t="str">
        <f>IF(U193=0,"",COUNTIF(X$27:X192,"&gt;0")+1)</f>
        <v/>
      </c>
      <c r="Y193" s="355"/>
      <c r="Z193" s="359" t="str">
        <f t="shared" si="36"/>
        <v/>
      </c>
      <c r="AA193" s="359" t="str">
        <f t="shared" si="37"/>
        <v/>
      </c>
      <c r="AB193" s="359" t="str">
        <f t="shared" si="38"/>
        <v/>
      </c>
      <c r="AC193" s="355">
        <v>7.2999999999999995E-2</v>
      </c>
      <c r="AD193" s="355" t="str">
        <f t="shared" si="39"/>
        <v>YES</v>
      </c>
      <c r="AE193" s="355" t="str">
        <f t="shared" si="40"/>
        <v/>
      </c>
      <c r="AF193" s="355" t="str">
        <f t="shared" si="41"/>
        <v/>
      </c>
      <c r="AG193" s="355" t="str">
        <f t="shared" si="42"/>
        <v/>
      </c>
      <c r="AH193" s="355">
        <f t="shared" si="43"/>
        <v>0</v>
      </c>
      <c r="AI193" s="355"/>
      <c r="AJ193" s="219"/>
      <c r="AK193" s="219"/>
      <c r="AL193" s="219"/>
      <c r="AM193" s="399"/>
      <c r="AN193" s="399"/>
      <c r="AO193" s="399"/>
      <c r="AP193" s="399"/>
    </row>
    <row r="194" spans="1:42" hidden="1" x14ac:dyDescent="0.25">
      <c r="A194" s="330"/>
      <c r="B194" s="48" t="s">
        <v>168</v>
      </c>
      <c r="C194" s="161" t="s">
        <v>398</v>
      </c>
      <c r="D194" s="79"/>
      <c r="E194" s="80" t="s">
        <v>412</v>
      </c>
      <c r="F194" s="180" t="s">
        <v>400</v>
      </c>
      <c r="G194" s="176">
        <v>8719743710771</v>
      </c>
      <c r="H194" s="13">
        <v>1</v>
      </c>
      <c r="I194" s="13">
        <v>1</v>
      </c>
      <c r="J194" s="122" t="s">
        <v>413</v>
      </c>
      <c r="K194" s="5" t="s">
        <v>26</v>
      </c>
      <c r="L194" s="200"/>
      <c r="M194" s="356" t="s">
        <v>30</v>
      </c>
      <c r="N194" s="355" t="s">
        <v>874</v>
      </c>
      <c r="O194" s="355"/>
      <c r="P194" s="355">
        <v>0.14199999999999999</v>
      </c>
      <c r="Q194" s="355"/>
      <c r="R194" s="355">
        <v>35</v>
      </c>
      <c r="S194" s="355" t="s">
        <v>576</v>
      </c>
      <c r="T194" s="355" t="s">
        <v>612</v>
      </c>
      <c r="U194" s="355">
        <f t="shared" si="35"/>
        <v>0</v>
      </c>
      <c r="V194" s="355"/>
      <c r="W194" s="360" t="str">
        <f>IF(U194=0,"",COUNTIF(W$27:W193,"&gt;0")+1)</f>
        <v/>
      </c>
      <c r="X194" s="360" t="str">
        <f>IF(U194=0,"",COUNTIF(X$27:X193,"&gt;0")+1)</f>
        <v/>
      </c>
      <c r="Y194" s="355"/>
      <c r="Z194" s="359" t="str">
        <f t="shared" si="36"/>
        <v/>
      </c>
      <c r="AA194" s="359" t="str">
        <f t="shared" si="37"/>
        <v/>
      </c>
      <c r="AB194" s="359" t="str">
        <f t="shared" si="38"/>
        <v/>
      </c>
      <c r="AC194" s="355">
        <v>7.3999999999999996E-2</v>
      </c>
      <c r="AD194" s="355" t="str">
        <f t="shared" si="39"/>
        <v>YES</v>
      </c>
      <c r="AE194" s="355" t="str">
        <f>IFERROR(RANK(Z194,Z$121:Z$194,1),"")</f>
        <v/>
      </c>
      <c r="AF194" s="355" t="str">
        <f t="shared" si="41"/>
        <v/>
      </c>
      <c r="AG194" s="355" t="str">
        <f t="shared" si="42"/>
        <v/>
      </c>
      <c r="AH194" s="355">
        <f t="shared" si="43"/>
        <v>0</v>
      </c>
      <c r="AI194" s="355"/>
      <c r="AJ194" s="219"/>
      <c r="AK194" s="219"/>
      <c r="AL194" s="219"/>
      <c r="AM194" s="399"/>
      <c r="AN194" s="399"/>
      <c r="AO194" s="399"/>
      <c r="AP194" s="399"/>
    </row>
    <row r="195" spans="1:42" hidden="1" x14ac:dyDescent="0.25">
      <c r="A195" s="59">
        <f>SUM(A118:A194)</f>
        <v>0</v>
      </c>
      <c r="B195" s="48" t="s">
        <v>168</v>
      </c>
      <c r="C195" s="143" t="s">
        <v>954</v>
      </c>
      <c r="D195" s="2"/>
      <c r="E195" s="69"/>
      <c r="F195" s="185"/>
      <c r="G195" s="213"/>
      <c r="H195" s="213"/>
      <c r="I195" s="213"/>
      <c r="J195" s="213"/>
      <c r="K195" s="213"/>
      <c r="L195" s="213"/>
      <c r="M195" s="362"/>
      <c r="N195" s="362"/>
      <c r="O195" s="355"/>
      <c r="P195" s="355"/>
      <c r="Q195" s="355"/>
      <c r="R195" s="355"/>
      <c r="S195" s="355" t="s">
        <v>576</v>
      </c>
      <c r="T195" s="355"/>
      <c r="U195" s="355">
        <f t="shared" ref="U195" si="44">A195</f>
        <v>0</v>
      </c>
      <c r="V195" s="355"/>
      <c r="W195" s="360" t="str">
        <f>IF(U195=0,"",COUNTIF(W$27:W194,"&gt;0")+1)</f>
        <v/>
      </c>
      <c r="X195" s="355"/>
      <c r="Y195" s="355"/>
      <c r="Z195" s="355"/>
      <c r="AA195" s="355"/>
      <c r="AB195" s="355"/>
      <c r="AC195" s="355"/>
      <c r="AD195" s="355"/>
      <c r="AE195" s="355"/>
      <c r="AF195" s="355"/>
      <c r="AG195" s="355"/>
      <c r="AH195" s="355"/>
      <c r="AI195" s="355"/>
      <c r="AJ195" s="219"/>
      <c r="AK195" s="219"/>
      <c r="AL195" s="219"/>
      <c r="AM195" s="399"/>
      <c r="AN195" s="399"/>
      <c r="AO195" s="399"/>
      <c r="AP195" s="399"/>
    </row>
    <row r="196" spans="1:42" hidden="1" x14ac:dyDescent="0.25">
      <c r="A196" s="60"/>
      <c r="B196" s="21"/>
      <c r="C196" s="2"/>
      <c r="D196" s="2"/>
      <c r="E196" s="69"/>
      <c r="F196" s="189"/>
      <c r="G196" s="69"/>
      <c r="H196" s="3"/>
      <c r="I196" s="3"/>
      <c r="J196" s="6"/>
      <c r="K196" s="7"/>
      <c r="L196" s="25"/>
      <c r="M196" s="357"/>
      <c r="N196" s="357"/>
      <c r="O196" s="355"/>
      <c r="P196" s="355"/>
      <c r="Q196" s="355"/>
      <c r="R196" s="355"/>
      <c r="S196" s="355"/>
      <c r="T196" s="355"/>
      <c r="U196" s="355"/>
      <c r="V196" s="355"/>
      <c r="W196" s="355"/>
      <c r="X196" s="355"/>
      <c r="Y196" s="355"/>
      <c r="Z196" s="355"/>
      <c r="AA196" s="355"/>
      <c r="AB196" s="355"/>
      <c r="AC196" s="355"/>
      <c r="AD196" s="355"/>
      <c r="AE196" s="355"/>
      <c r="AF196" s="355"/>
      <c r="AG196" s="355"/>
      <c r="AH196" s="355"/>
      <c r="AI196" s="355"/>
      <c r="AJ196" s="219"/>
      <c r="AK196" s="219"/>
      <c r="AL196" s="219"/>
      <c r="AM196" s="399"/>
      <c r="AN196" s="399"/>
      <c r="AO196" s="399"/>
      <c r="AP196" s="399"/>
    </row>
    <row r="197" spans="1:42" ht="28.5" x14ac:dyDescent="0.25">
      <c r="A197" s="67" t="s">
        <v>952</v>
      </c>
      <c r="B197" s="67"/>
      <c r="C197" s="67"/>
      <c r="D197" s="67"/>
      <c r="E197" s="67"/>
      <c r="F197" s="67"/>
      <c r="G197" s="67"/>
      <c r="H197" s="67"/>
      <c r="I197" s="67"/>
      <c r="J197" s="6"/>
      <c r="K197" s="7"/>
      <c r="L197" s="25"/>
      <c r="M197" s="357"/>
      <c r="N197" s="357"/>
      <c r="O197" s="355"/>
      <c r="P197" s="355"/>
      <c r="Q197" s="355"/>
      <c r="R197" s="355"/>
      <c r="S197" s="355"/>
      <c r="T197" s="355"/>
      <c r="U197" s="355"/>
      <c r="V197" s="355"/>
      <c r="W197" s="355"/>
      <c r="X197" s="355"/>
      <c r="Y197" s="355"/>
      <c r="Z197" s="355"/>
      <c r="AA197" s="355"/>
      <c r="AB197" s="355"/>
      <c r="AC197" s="355"/>
      <c r="AD197" s="355"/>
      <c r="AE197" s="355"/>
      <c r="AF197" s="355"/>
      <c r="AG197" s="355"/>
      <c r="AH197" s="355"/>
      <c r="AI197" s="355"/>
      <c r="AJ197" s="219"/>
      <c r="AK197" s="219"/>
      <c r="AL197" s="219"/>
      <c r="AM197" s="399"/>
      <c r="AN197" s="399"/>
      <c r="AO197" s="399"/>
      <c r="AP197" s="399"/>
    </row>
    <row r="198" spans="1:42" x14ac:dyDescent="0.25">
      <c r="A198" s="368" t="s">
        <v>0</v>
      </c>
      <c r="B198" s="369"/>
      <c r="C198" s="368" t="s">
        <v>165</v>
      </c>
      <c r="D198" s="71"/>
      <c r="E198" s="72"/>
      <c r="F198" s="139" t="s">
        <v>385</v>
      </c>
      <c r="G198" s="382" t="s">
        <v>508</v>
      </c>
      <c r="H198" s="103" t="s">
        <v>3</v>
      </c>
      <c r="I198" s="103" t="s">
        <v>4</v>
      </c>
      <c r="J198" s="368" t="s">
        <v>328</v>
      </c>
      <c r="K198" s="71"/>
      <c r="L198" s="206"/>
      <c r="M198" s="356" t="s">
        <v>2</v>
      </c>
      <c r="N198" s="357"/>
      <c r="O198" s="355"/>
      <c r="P198" s="355"/>
      <c r="Q198" s="355"/>
      <c r="R198" s="355"/>
      <c r="S198" s="355"/>
      <c r="T198" s="355"/>
      <c r="U198" s="355"/>
      <c r="V198" s="355"/>
      <c r="W198" s="355"/>
      <c r="X198" s="355"/>
      <c r="Y198" s="355"/>
      <c r="Z198" s="355"/>
      <c r="AA198" s="355"/>
      <c r="AB198" s="355"/>
      <c r="AC198" s="355"/>
      <c r="AD198" s="355"/>
      <c r="AE198" s="355"/>
      <c r="AF198" s="355"/>
      <c r="AG198" s="355"/>
      <c r="AH198" s="355"/>
      <c r="AI198" s="355"/>
      <c r="AJ198" s="219"/>
      <c r="AK198" s="219"/>
      <c r="AL198" s="219"/>
      <c r="AM198" s="399"/>
      <c r="AN198" s="399"/>
      <c r="AO198" s="399"/>
      <c r="AP198" s="399"/>
    </row>
    <row r="199" spans="1:42" x14ac:dyDescent="0.25">
      <c r="A199" s="370"/>
      <c r="B199" s="371"/>
      <c r="C199" s="370"/>
      <c r="D199" s="74"/>
      <c r="E199" s="75"/>
      <c r="F199" s="140" t="s">
        <v>386</v>
      </c>
      <c r="G199" s="383"/>
      <c r="H199" s="104" t="s">
        <v>8</v>
      </c>
      <c r="I199" s="104" t="s">
        <v>9</v>
      </c>
      <c r="J199" s="370"/>
      <c r="K199" s="74"/>
      <c r="L199" s="207"/>
      <c r="M199" s="356" t="s">
        <v>7</v>
      </c>
      <c r="N199" s="357"/>
      <c r="O199" s="355"/>
      <c r="P199" s="355"/>
      <c r="Q199" s="355"/>
      <c r="R199" s="355"/>
      <c r="S199" s="355"/>
      <c r="T199" s="355"/>
      <c r="U199" s="355"/>
      <c r="V199" s="355"/>
      <c r="W199" s="355"/>
      <c r="X199" s="355"/>
      <c r="Y199" s="355"/>
      <c r="Z199" s="355"/>
      <c r="AA199" s="355"/>
      <c r="AB199" s="355"/>
      <c r="AC199" s="355"/>
      <c r="AD199" s="355"/>
      <c r="AE199" s="355"/>
      <c r="AF199" s="355"/>
      <c r="AG199" s="355"/>
      <c r="AH199" s="355"/>
      <c r="AI199" s="355"/>
      <c r="AJ199" s="219"/>
      <c r="AK199" s="219"/>
      <c r="AL199" s="219"/>
      <c r="AM199" s="399"/>
      <c r="AN199" s="399"/>
      <c r="AO199" s="399"/>
      <c r="AP199" s="399"/>
    </row>
    <row r="200" spans="1:42" x14ac:dyDescent="0.25">
      <c r="A200" s="338"/>
      <c r="B200" s="48" t="s">
        <v>168</v>
      </c>
      <c r="C200" s="89" t="s">
        <v>953</v>
      </c>
      <c r="D200" s="99"/>
      <c r="E200" s="98"/>
      <c r="F200" s="180" t="s">
        <v>441</v>
      </c>
      <c r="G200" s="176">
        <v>8718226850492</v>
      </c>
      <c r="H200" s="13">
        <v>1</v>
      </c>
      <c r="I200" s="18">
        <v>2</v>
      </c>
      <c r="J200" s="170" t="s">
        <v>209</v>
      </c>
      <c r="K200" s="14"/>
      <c r="L200" s="5"/>
      <c r="M200" s="357" t="s">
        <v>19</v>
      </c>
      <c r="N200" s="355" t="s">
        <v>875</v>
      </c>
      <c r="O200" s="355">
        <v>175</v>
      </c>
      <c r="P200" s="355">
        <v>0.2</v>
      </c>
      <c r="Q200" s="355"/>
      <c r="R200" s="355">
        <v>35</v>
      </c>
      <c r="S200" s="355" t="s">
        <v>577</v>
      </c>
      <c r="T200" s="355" t="s">
        <v>577</v>
      </c>
      <c r="U200" s="355">
        <f>A200</f>
        <v>0</v>
      </c>
      <c r="V200" s="355"/>
      <c r="W200" s="360" t="str">
        <f>IF(U200=0,"",COUNTIF(W$27:W199,"&gt;0")+1)</f>
        <v/>
      </c>
      <c r="X200" s="360" t="str">
        <f>IF(U200=0,"",COUNTIF(X$27:X199,"&gt;0")+1)</f>
        <v/>
      </c>
      <c r="Y200" s="355"/>
      <c r="Z200" s="355"/>
      <c r="AA200" s="355"/>
      <c r="AB200" s="355"/>
      <c r="AC200" s="355"/>
      <c r="AD200" s="355"/>
      <c r="AE200" s="355"/>
      <c r="AF200" s="355"/>
      <c r="AG200" s="355"/>
      <c r="AH200" s="355"/>
      <c r="AI200" s="355"/>
      <c r="AJ200" s="219"/>
      <c r="AK200" s="219"/>
      <c r="AL200" s="219"/>
      <c r="AM200" s="399"/>
      <c r="AN200" s="399"/>
      <c r="AO200" s="399"/>
      <c r="AP200" s="399"/>
    </row>
    <row r="201" spans="1:42" x14ac:dyDescent="0.25">
      <c r="A201" s="61">
        <f>A200</f>
        <v>0</v>
      </c>
      <c r="B201" s="48" t="s">
        <v>168</v>
      </c>
      <c r="C201" s="11" t="s">
        <v>164</v>
      </c>
      <c r="D201" s="11"/>
      <c r="E201" s="70"/>
      <c r="F201" s="190"/>
      <c r="G201" s="70"/>
      <c r="H201" s="3"/>
      <c r="I201" s="128"/>
      <c r="J201" s="9"/>
      <c r="K201" s="7"/>
      <c r="L201" s="34"/>
      <c r="M201" s="355"/>
      <c r="N201" s="355"/>
      <c r="O201" s="355"/>
      <c r="P201" s="355"/>
      <c r="Q201" s="355"/>
      <c r="R201" s="355"/>
      <c r="S201" s="355"/>
      <c r="T201" s="355"/>
      <c r="U201" s="355">
        <f>A201</f>
        <v>0</v>
      </c>
      <c r="V201" s="355"/>
      <c r="W201" s="360" t="str">
        <f>IF(U201=0,"",COUNTIF(W$27:W200,"&gt;0")+1)</f>
        <v/>
      </c>
      <c r="X201" s="360"/>
      <c r="Y201" s="355"/>
      <c r="Z201" s="355"/>
      <c r="AA201" s="355"/>
      <c r="AB201" s="355"/>
      <c r="AC201" s="355"/>
      <c r="AD201" s="355"/>
      <c r="AE201" s="355"/>
      <c r="AF201" s="355"/>
      <c r="AG201" s="355"/>
      <c r="AH201" s="355"/>
      <c r="AI201" s="355"/>
      <c r="AJ201" s="219"/>
      <c r="AK201" s="219"/>
      <c r="AL201" s="219"/>
      <c r="AM201" s="399"/>
      <c r="AN201" s="399"/>
      <c r="AO201" s="399"/>
      <c r="AP201" s="399"/>
    </row>
    <row r="202" spans="1:42" x14ac:dyDescent="0.25">
      <c r="A202" s="62"/>
      <c r="B202" s="21"/>
      <c r="C202" s="11"/>
      <c r="D202" s="11"/>
      <c r="E202" s="70"/>
      <c r="F202" s="190"/>
      <c r="G202" s="70"/>
      <c r="H202" s="3"/>
      <c r="I202" s="3"/>
      <c r="J202" s="9"/>
      <c r="K202" s="7"/>
      <c r="L202" s="34"/>
      <c r="M202" s="357"/>
      <c r="N202" s="357"/>
      <c r="O202" s="355"/>
      <c r="P202" s="355"/>
      <c r="Q202" s="355"/>
      <c r="R202" s="355"/>
      <c r="S202" s="355"/>
      <c r="T202" s="355"/>
      <c r="U202" s="355"/>
      <c r="V202" s="355"/>
      <c r="W202" s="355"/>
      <c r="X202" s="355"/>
      <c r="Y202" s="355"/>
      <c r="Z202" s="355"/>
      <c r="AA202" s="355"/>
      <c r="AB202" s="355"/>
      <c r="AC202" s="355"/>
      <c r="AD202" s="355"/>
      <c r="AE202" s="355"/>
      <c r="AF202" s="355"/>
      <c r="AG202" s="355"/>
      <c r="AH202" s="355"/>
      <c r="AI202" s="355"/>
      <c r="AJ202" s="219"/>
      <c r="AK202" s="219"/>
      <c r="AL202" s="219"/>
      <c r="AM202" s="399"/>
      <c r="AN202" s="399"/>
      <c r="AO202" s="399"/>
      <c r="AP202" s="399"/>
    </row>
    <row r="203" spans="1:42" ht="28.5" x14ac:dyDescent="0.25">
      <c r="A203" s="67" t="s">
        <v>329</v>
      </c>
      <c r="B203" s="67"/>
      <c r="C203" s="67"/>
      <c r="D203" s="67"/>
      <c r="E203" s="67"/>
      <c r="F203" s="67"/>
      <c r="G203" s="67"/>
      <c r="H203" s="67"/>
      <c r="I203" s="67"/>
      <c r="J203" s="9"/>
      <c r="K203" s="7"/>
      <c r="L203" s="34"/>
      <c r="M203" s="357"/>
      <c r="N203" s="357"/>
      <c r="O203" s="355"/>
      <c r="P203" s="355"/>
      <c r="Q203" s="355"/>
      <c r="R203" s="355"/>
      <c r="S203" s="355"/>
      <c r="T203" s="355"/>
      <c r="U203" s="355"/>
      <c r="V203" s="355"/>
      <c r="W203" s="355"/>
      <c r="X203" s="355"/>
      <c r="Y203" s="355"/>
      <c r="Z203" s="355"/>
      <c r="AA203" s="355"/>
      <c r="AB203" s="355"/>
      <c r="AC203" s="355"/>
      <c r="AD203" s="355"/>
      <c r="AE203" s="355"/>
      <c r="AF203" s="355"/>
      <c r="AG203" s="355"/>
      <c r="AH203" s="355"/>
      <c r="AI203" s="355"/>
      <c r="AJ203" s="219"/>
      <c r="AK203" s="219"/>
      <c r="AL203" s="219"/>
      <c r="AM203" s="399"/>
      <c r="AN203" s="399"/>
      <c r="AO203" s="399"/>
      <c r="AP203" s="399"/>
    </row>
    <row r="204" spans="1:42" x14ac:dyDescent="0.25">
      <c r="A204" s="368" t="s">
        <v>0</v>
      </c>
      <c r="B204" s="369"/>
      <c r="C204" s="368" t="s">
        <v>165</v>
      </c>
      <c r="D204" s="71"/>
      <c r="E204" s="72"/>
      <c r="F204" s="139" t="s">
        <v>385</v>
      </c>
      <c r="G204" s="382" t="s">
        <v>508</v>
      </c>
      <c r="H204" s="103" t="s">
        <v>3</v>
      </c>
      <c r="I204" s="103" t="s">
        <v>4</v>
      </c>
      <c r="J204" s="380"/>
      <c r="K204" s="380" t="s">
        <v>5</v>
      </c>
      <c r="L204" s="380" t="s">
        <v>6</v>
      </c>
      <c r="M204" s="356" t="s">
        <v>2</v>
      </c>
      <c r="N204" s="357"/>
      <c r="O204" s="355"/>
      <c r="P204" s="355"/>
      <c r="Q204" s="355"/>
      <c r="R204" s="355"/>
      <c r="S204" s="355"/>
      <c r="T204" s="355"/>
      <c r="U204" s="355"/>
      <c r="V204" s="355"/>
      <c r="W204" s="355"/>
      <c r="X204" s="355"/>
      <c r="Y204" s="355"/>
      <c r="Z204" s="355"/>
      <c r="AA204" s="355"/>
      <c r="AB204" s="355"/>
      <c r="AC204" s="355"/>
      <c r="AD204" s="355"/>
      <c r="AE204" s="355"/>
      <c r="AF204" s="355"/>
      <c r="AG204" s="355"/>
      <c r="AH204" s="355"/>
      <c r="AI204" s="355"/>
      <c r="AJ204" s="219"/>
      <c r="AK204" s="219"/>
      <c r="AL204" s="219"/>
      <c r="AM204" s="399"/>
      <c r="AN204" s="399"/>
      <c r="AO204" s="399"/>
      <c r="AP204" s="399"/>
    </row>
    <row r="205" spans="1:42" x14ac:dyDescent="0.25">
      <c r="A205" s="370"/>
      <c r="B205" s="371"/>
      <c r="C205" s="370"/>
      <c r="D205" s="74"/>
      <c r="E205" s="75"/>
      <c r="F205" s="140" t="s">
        <v>386</v>
      </c>
      <c r="G205" s="383"/>
      <c r="H205" s="104" t="s">
        <v>8</v>
      </c>
      <c r="I205" s="104" t="s">
        <v>9</v>
      </c>
      <c r="J205" s="381"/>
      <c r="K205" s="381"/>
      <c r="L205" s="381"/>
      <c r="M205" s="356" t="s">
        <v>7</v>
      </c>
      <c r="N205" s="357"/>
      <c r="O205" s="355"/>
      <c r="P205" s="355"/>
      <c r="Q205" s="355"/>
      <c r="R205" s="355"/>
      <c r="S205" s="355"/>
      <c r="T205" s="355"/>
      <c r="U205" s="355"/>
      <c r="V205" s="355"/>
      <c r="W205" s="355"/>
      <c r="X205" s="355"/>
      <c r="Y205" s="355"/>
      <c r="Z205" s="355"/>
      <c r="AA205" s="355"/>
      <c r="AB205" s="355"/>
      <c r="AC205" s="355"/>
      <c r="AD205" s="355"/>
      <c r="AE205" s="355"/>
      <c r="AF205" s="355"/>
      <c r="AG205" s="355"/>
      <c r="AH205" s="355"/>
      <c r="AI205" s="355"/>
      <c r="AJ205" s="219"/>
      <c r="AK205" s="219"/>
      <c r="AL205" s="219"/>
      <c r="AM205" s="399"/>
      <c r="AN205" s="399"/>
      <c r="AO205" s="399"/>
      <c r="AP205" s="399"/>
    </row>
    <row r="206" spans="1:42" ht="15" hidden="1" customHeight="1" x14ac:dyDescent="0.25">
      <c r="A206" s="338"/>
      <c r="B206" s="48" t="s">
        <v>168</v>
      </c>
      <c r="C206" s="112" t="s">
        <v>579</v>
      </c>
      <c r="D206" s="77"/>
      <c r="E206" s="98"/>
      <c r="F206" s="191"/>
      <c r="G206" s="211"/>
      <c r="H206" s="13"/>
      <c r="I206" s="13"/>
      <c r="J206" s="10" t="s">
        <v>666</v>
      </c>
      <c r="K206" s="5" t="s">
        <v>18</v>
      </c>
      <c r="L206" s="5"/>
      <c r="M206" s="357" t="s">
        <v>30</v>
      </c>
      <c r="N206" s="357" t="s">
        <v>876</v>
      </c>
      <c r="O206" s="355"/>
      <c r="P206" s="355">
        <v>0.25</v>
      </c>
      <c r="Q206" s="355"/>
      <c r="R206" s="355">
        <v>40</v>
      </c>
      <c r="S206" s="355" t="s">
        <v>578</v>
      </c>
      <c r="T206" s="355" t="s">
        <v>655</v>
      </c>
      <c r="U206" s="355">
        <f>A206</f>
        <v>0</v>
      </c>
      <c r="V206" s="355"/>
      <c r="W206" s="360" t="str">
        <f>IF(U206=0,"",COUNTIF(W$27:W205,"&gt;0")+1)</f>
        <v/>
      </c>
      <c r="X206" s="360" t="str">
        <f>IF(U206=0,"",COUNTIF(X$27:X205,"&gt;0")+1)</f>
        <v/>
      </c>
      <c r="Y206" s="355"/>
      <c r="Z206" s="355"/>
      <c r="AA206" s="355"/>
      <c r="AB206" s="355"/>
      <c r="AC206" s="355"/>
      <c r="AD206" s="355"/>
      <c r="AE206" s="355"/>
      <c r="AF206" s="355"/>
      <c r="AG206" s="355"/>
      <c r="AH206" s="355"/>
      <c r="AI206" s="355"/>
      <c r="AJ206" s="219"/>
      <c r="AK206" s="219"/>
      <c r="AL206" s="219"/>
      <c r="AM206" s="399"/>
      <c r="AN206" s="399"/>
      <c r="AO206" s="399"/>
      <c r="AP206" s="399"/>
    </row>
    <row r="207" spans="1:42" ht="15" hidden="1" customHeight="1" x14ac:dyDescent="0.25">
      <c r="A207" s="338"/>
      <c r="B207" s="48" t="s">
        <v>168</v>
      </c>
      <c r="C207" s="112" t="s">
        <v>580</v>
      </c>
      <c r="D207" s="77"/>
      <c r="E207" s="98"/>
      <c r="F207" s="191"/>
      <c r="G207" s="212"/>
      <c r="H207" s="13"/>
      <c r="I207" s="13"/>
      <c r="J207" s="10" t="s">
        <v>666</v>
      </c>
      <c r="K207" s="5" t="s">
        <v>18</v>
      </c>
      <c r="L207" s="5"/>
      <c r="M207" s="357" t="s">
        <v>30</v>
      </c>
      <c r="N207" s="357" t="s">
        <v>877</v>
      </c>
      <c r="O207" s="355"/>
      <c r="P207" s="355">
        <v>0.25</v>
      </c>
      <c r="Q207" s="355"/>
      <c r="R207" s="355">
        <v>40</v>
      </c>
      <c r="S207" s="355" t="s">
        <v>578</v>
      </c>
      <c r="T207" s="355" t="s">
        <v>655</v>
      </c>
      <c r="U207" s="355">
        <f>A207</f>
        <v>0</v>
      </c>
      <c r="V207" s="355"/>
      <c r="W207" s="360" t="str">
        <f>IF(U207=0,"",COUNTIF(W$27:W206,"&gt;0")+1)</f>
        <v/>
      </c>
      <c r="X207" s="360" t="str">
        <f>IF(U207=0,"",COUNTIF(X$27:X206,"&gt;0")+1)</f>
        <v/>
      </c>
      <c r="Y207" s="355"/>
      <c r="Z207" s="355"/>
      <c r="AA207" s="355"/>
      <c r="AB207" s="355"/>
      <c r="AC207" s="355"/>
      <c r="AD207" s="355"/>
      <c r="AE207" s="355"/>
      <c r="AF207" s="355"/>
      <c r="AG207" s="355"/>
      <c r="AH207" s="355"/>
      <c r="AI207" s="355"/>
      <c r="AJ207" s="219"/>
      <c r="AK207" s="219"/>
      <c r="AL207" s="219"/>
      <c r="AM207" s="399"/>
      <c r="AN207" s="399"/>
      <c r="AO207" s="399"/>
      <c r="AP207" s="399"/>
    </row>
    <row r="208" spans="1:42" ht="15" customHeight="1" x14ac:dyDescent="0.25">
      <c r="A208" s="338"/>
      <c r="B208" s="48" t="s">
        <v>168</v>
      </c>
      <c r="C208" s="196" t="s">
        <v>581</v>
      </c>
      <c r="D208" s="77"/>
      <c r="E208" s="98"/>
      <c r="F208" s="191"/>
      <c r="G208" s="176">
        <v>8717263019695</v>
      </c>
      <c r="H208" s="13">
        <v>1</v>
      </c>
      <c r="I208" s="18">
        <v>2</v>
      </c>
      <c r="J208" s="10" t="s">
        <v>951</v>
      </c>
      <c r="K208" s="5" t="s">
        <v>18</v>
      </c>
      <c r="L208" s="5"/>
      <c r="M208" s="357" t="s">
        <v>19</v>
      </c>
      <c r="N208" s="357" t="s">
        <v>876</v>
      </c>
      <c r="O208" s="355">
        <v>179</v>
      </c>
      <c r="P208" s="355">
        <v>0.33</v>
      </c>
      <c r="Q208" s="355"/>
      <c r="R208" s="355">
        <v>40</v>
      </c>
      <c r="S208" s="355" t="s">
        <v>578</v>
      </c>
      <c r="T208" s="355" t="s">
        <v>656</v>
      </c>
      <c r="U208" s="355">
        <f>A208</f>
        <v>0</v>
      </c>
      <c r="V208" s="355"/>
      <c r="W208" s="360" t="str">
        <f>IF(U208=0,"",COUNTIF(W$27:W207,"&gt;0")+1)</f>
        <v/>
      </c>
      <c r="X208" s="360" t="str">
        <f>IF(U208=0,"",COUNTIF(X$27:X207,"&gt;0")+1)</f>
        <v/>
      </c>
      <c r="Y208" s="355"/>
      <c r="Z208" s="355"/>
      <c r="AA208" s="355"/>
      <c r="AB208" s="355"/>
      <c r="AC208" s="355"/>
      <c r="AD208" s="355"/>
      <c r="AE208" s="355"/>
      <c r="AF208" s="355"/>
      <c r="AG208" s="355"/>
      <c r="AH208" s="355"/>
      <c r="AI208" s="355"/>
      <c r="AJ208" s="219"/>
      <c r="AK208" s="219"/>
      <c r="AL208" s="219"/>
      <c r="AM208" s="399"/>
      <c r="AN208" s="399"/>
      <c r="AO208" s="399"/>
      <c r="AP208" s="399"/>
    </row>
    <row r="209" spans="1:42" x14ac:dyDescent="0.25">
      <c r="A209" s="338"/>
      <c r="B209" s="48" t="s">
        <v>168</v>
      </c>
      <c r="C209" s="196" t="s">
        <v>582</v>
      </c>
      <c r="D209" s="77"/>
      <c r="E209" s="98"/>
      <c r="F209" s="198" t="s">
        <v>441</v>
      </c>
      <c r="G209" s="176">
        <v>8717263019695</v>
      </c>
      <c r="H209" s="13">
        <v>1</v>
      </c>
      <c r="I209" s="18">
        <v>2</v>
      </c>
      <c r="J209" s="10" t="s">
        <v>951</v>
      </c>
      <c r="K209" s="5" t="s">
        <v>18</v>
      </c>
      <c r="L209" s="5"/>
      <c r="M209" s="357" t="s">
        <v>19</v>
      </c>
      <c r="N209" s="357" t="s">
        <v>877</v>
      </c>
      <c r="O209" s="355">
        <v>180</v>
      </c>
      <c r="P209" s="355">
        <v>0.33</v>
      </c>
      <c r="Q209" s="355"/>
      <c r="R209" s="355">
        <v>40</v>
      </c>
      <c r="S209" s="355" t="s">
        <v>578</v>
      </c>
      <c r="T209" s="355" t="s">
        <v>656</v>
      </c>
      <c r="U209" s="355">
        <f>A209</f>
        <v>0</v>
      </c>
      <c r="V209" s="355"/>
      <c r="W209" s="360" t="str">
        <f>IF(U209=0,"",COUNTIF(W$27:W208,"&gt;0")+1)</f>
        <v/>
      </c>
      <c r="X209" s="360" t="str">
        <f>IF(U209=0,"",COUNTIF(X$27:X208,"&gt;0")+1)</f>
        <v/>
      </c>
      <c r="Y209" s="355"/>
      <c r="Z209" s="355"/>
      <c r="AA209" s="355"/>
      <c r="AB209" s="355"/>
      <c r="AC209" s="355"/>
      <c r="AD209" s="355"/>
      <c r="AE209" s="355"/>
      <c r="AF209" s="355"/>
      <c r="AG209" s="355"/>
      <c r="AH209" s="355"/>
      <c r="AI209" s="355"/>
      <c r="AJ209" s="219"/>
      <c r="AK209" s="219"/>
      <c r="AL209" s="219"/>
      <c r="AM209" s="399"/>
      <c r="AN209" s="399"/>
      <c r="AO209" s="399"/>
      <c r="AP209" s="399"/>
    </row>
    <row r="210" spans="1:42" x14ac:dyDescent="0.25">
      <c r="A210" s="61">
        <f>SUM(A206:A209)</f>
        <v>0</v>
      </c>
      <c r="B210" s="48" t="s">
        <v>168</v>
      </c>
      <c r="C210" s="27" t="s">
        <v>164</v>
      </c>
      <c r="E210" s="70"/>
      <c r="F210" s="190"/>
      <c r="G210" s="70"/>
      <c r="I210" s="3"/>
      <c r="J210" s="9"/>
      <c r="K210" s="7"/>
      <c r="L210" s="197"/>
      <c r="M210" s="363"/>
      <c r="N210" s="363"/>
      <c r="O210" s="355"/>
      <c r="P210" s="355"/>
      <c r="Q210" s="355"/>
      <c r="R210" s="355"/>
      <c r="S210" s="355" t="s">
        <v>578</v>
      </c>
      <c r="T210" s="355"/>
      <c r="U210" s="355">
        <f>A210</f>
        <v>0</v>
      </c>
      <c r="V210" s="355"/>
      <c r="W210" s="360" t="str">
        <f>IF(U210=0,"",COUNTIF(W$27:W209,"&gt;0")+1)</f>
        <v/>
      </c>
      <c r="X210" s="355"/>
      <c r="Y210" s="355"/>
      <c r="Z210" s="355"/>
      <c r="AA210" s="355"/>
      <c r="AB210" s="355"/>
      <c r="AC210" s="355"/>
      <c r="AD210" s="355"/>
      <c r="AE210" s="355"/>
      <c r="AF210" s="355"/>
      <c r="AG210" s="355"/>
      <c r="AH210" s="355"/>
      <c r="AI210" s="355"/>
      <c r="AJ210" s="219"/>
      <c r="AK210" s="219"/>
      <c r="AL210" s="219"/>
      <c r="AM210" s="399"/>
      <c r="AN210" s="399"/>
      <c r="AO210" s="399"/>
      <c r="AP210" s="399"/>
    </row>
    <row r="211" spans="1:42" x14ac:dyDescent="0.25">
      <c r="A211" s="62"/>
      <c r="B211" s="8"/>
      <c r="C211" s="11"/>
      <c r="D211" s="11"/>
      <c r="E211" s="70"/>
      <c r="F211" s="190"/>
      <c r="G211" s="70"/>
      <c r="H211" s="3"/>
      <c r="I211" s="8"/>
      <c r="J211" s="9"/>
      <c r="K211" s="8"/>
      <c r="L211" s="197"/>
      <c r="M211" s="363"/>
      <c r="N211" s="363"/>
      <c r="O211" s="355"/>
      <c r="P211" s="355"/>
      <c r="Q211" s="355"/>
      <c r="R211" s="355"/>
      <c r="S211" s="355"/>
      <c r="T211" s="355"/>
      <c r="U211" s="355"/>
      <c r="V211" s="355"/>
      <c r="W211" s="355"/>
      <c r="X211" s="355"/>
      <c r="Y211" s="355"/>
      <c r="Z211" s="355"/>
      <c r="AA211" s="355"/>
      <c r="AB211" s="355"/>
      <c r="AC211" s="355"/>
      <c r="AD211" s="355"/>
      <c r="AE211" s="355"/>
      <c r="AF211" s="355"/>
      <c r="AG211" s="355"/>
      <c r="AH211" s="355"/>
      <c r="AI211" s="355"/>
      <c r="AJ211" s="219"/>
      <c r="AK211" s="219"/>
      <c r="AL211" s="219"/>
      <c r="AM211" s="399"/>
      <c r="AN211" s="399"/>
      <c r="AO211" s="399"/>
      <c r="AP211" s="399"/>
    </row>
    <row r="212" spans="1:42" ht="28.5" x14ac:dyDescent="0.25">
      <c r="A212" s="67" t="s">
        <v>437</v>
      </c>
      <c r="B212" s="67"/>
      <c r="C212" s="67"/>
      <c r="D212" s="67"/>
      <c r="E212" s="67"/>
      <c r="F212" s="67"/>
      <c r="G212" s="67"/>
      <c r="H212" s="67"/>
      <c r="I212" s="67"/>
      <c r="L212" s="197"/>
      <c r="M212" s="354"/>
      <c r="N212" s="354"/>
      <c r="O212" s="355"/>
      <c r="P212" s="355"/>
      <c r="Q212" s="355"/>
      <c r="R212" s="355"/>
      <c r="S212" s="355"/>
      <c r="T212" s="355"/>
      <c r="U212" s="355"/>
      <c r="V212" s="355"/>
      <c r="W212" s="355"/>
      <c r="X212" s="355"/>
      <c r="Y212" s="355"/>
      <c r="Z212" s="355"/>
      <c r="AA212" s="355"/>
      <c r="AB212" s="355"/>
      <c r="AC212" s="355"/>
      <c r="AD212" s="355"/>
      <c r="AE212" s="355"/>
      <c r="AF212" s="355"/>
      <c r="AG212" s="355"/>
      <c r="AH212" s="355"/>
      <c r="AI212" s="355"/>
      <c r="AJ212" s="219"/>
      <c r="AK212" s="219"/>
      <c r="AL212" s="219"/>
      <c r="AM212" s="399"/>
      <c r="AN212" s="399"/>
      <c r="AO212" s="399"/>
      <c r="AP212" s="399"/>
    </row>
    <row r="213" spans="1:42" x14ac:dyDescent="0.25">
      <c r="A213" s="368" t="s">
        <v>0</v>
      </c>
      <c r="B213" s="369"/>
      <c r="C213" s="368" t="s">
        <v>165</v>
      </c>
      <c r="D213" s="71"/>
      <c r="E213" s="72"/>
      <c r="F213" s="139" t="s">
        <v>385</v>
      </c>
      <c r="G213" s="382" t="s">
        <v>508</v>
      </c>
      <c r="H213" s="103" t="s">
        <v>3</v>
      </c>
      <c r="I213" s="103" t="s">
        <v>4</v>
      </c>
      <c r="J213" s="380" t="s">
        <v>324</v>
      </c>
      <c r="K213" s="380" t="s">
        <v>5</v>
      </c>
      <c r="L213" s="380" t="s">
        <v>6</v>
      </c>
      <c r="M213" s="356" t="s">
        <v>2</v>
      </c>
      <c r="N213" s="357"/>
      <c r="O213" s="355"/>
      <c r="P213" s="355"/>
      <c r="Q213" s="355"/>
      <c r="R213" s="355"/>
      <c r="S213" s="355"/>
      <c r="T213" s="355"/>
      <c r="U213" s="355"/>
      <c r="V213" s="355"/>
      <c r="W213" s="355"/>
      <c r="X213" s="355"/>
      <c r="Y213" s="355"/>
      <c r="Z213" s="355"/>
      <c r="AA213" s="355"/>
      <c r="AB213" s="355"/>
      <c r="AC213" s="355"/>
      <c r="AD213" s="355">
        <f>U215-ROUNDDOWN(U215/AC214,0)*AC214</f>
        <v>0</v>
      </c>
      <c r="AE213" s="355"/>
      <c r="AF213" s="355"/>
      <c r="AG213" s="355"/>
      <c r="AH213" s="355"/>
      <c r="AI213" s="355"/>
      <c r="AJ213" s="219"/>
      <c r="AK213" s="219"/>
      <c r="AL213" s="219"/>
      <c r="AM213" s="399"/>
      <c r="AN213" s="399"/>
      <c r="AO213" s="399"/>
      <c r="AP213" s="399"/>
    </row>
    <row r="214" spans="1:42" x14ac:dyDescent="0.25">
      <c r="A214" s="370"/>
      <c r="B214" s="371"/>
      <c r="C214" s="370"/>
      <c r="D214" s="74"/>
      <c r="E214" s="75"/>
      <c r="F214" s="140" t="s">
        <v>386</v>
      </c>
      <c r="G214" s="383"/>
      <c r="H214" s="104" t="s">
        <v>8</v>
      </c>
      <c r="I214" s="104" t="s">
        <v>9</v>
      </c>
      <c r="J214" s="381"/>
      <c r="K214" s="381"/>
      <c r="L214" s="381"/>
      <c r="M214" s="356" t="s">
        <v>7</v>
      </c>
      <c r="N214" s="357"/>
      <c r="O214" s="355"/>
      <c r="P214" s="355"/>
      <c r="Q214" s="355"/>
      <c r="R214" s="355"/>
      <c r="S214" s="355"/>
      <c r="T214" s="355"/>
      <c r="U214" s="355"/>
      <c r="V214" s="355"/>
      <c r="W214" s="355"/>
      <c r="X214" s="355"/>
      <c r="Y214" s="355"/>
      <c r="Z214" s="355"/>
      <c r="AA214" s="355"/>
      <c r="AB214" s="355"/>
      <c r="AC214" s="355">
        <f>COUNT(AB216:AB228)</f>
        <v>8</v>
      </c>
      <c r="AD214" s="355">
        <f>ROUNDDOWN((U215-1)/AC214,0)</f>
        <v>0</v>
      </c>
      <c r="AE214" s="355"/>
      <c r="AF214" s="355"/>
      <c r="AG214" s="355"/>
      <c r="AH214" s="355"/>
      <c r="AI214" s="355"/>
      <c r="AJ214" s="219"/>
      <c r="AK214" s="219"/>
      <c r="AL214" s="219"/>
      <c r="AM214" s="399"/>
      <c r="AN214" s="399"/>
      <c r="AO214" s="399"/>
      <c r="AP214" s="399"/>
    </row>
    <row r="215" spans="1:42" x14ac:dyDescent="0.25">
      <c r="A215" s="336"/>
      <c r="B215" s="48" t="s">
        <v>211</v>
      </c>
      <c r="C215" s="73" t="s">
        <v>584</v>
      </c>
      <c r="D215" s="74"/>
      <c r="E215" s="75"/>
      <c r="F215" s="259"/>
      <c r="G215" s="205"/>
      <c r="H215" s="104"/>
      <c r="I215" s="104"/>
      <c r="J215" s="131"/>
      <c r="K215" s="174"/>
      <c r="L215" s="214"/>
      <c r="M215" s="357"/>
      <c r="N215" s="357"/>
      <c r="O215" s="355"/>
      <c r="P215" s="355"/>
      <c r="Q215" s="355"/>
      <c r="R215" s="355"/>
      <c r="S215" s="355"/>
      <c r="T215" s="355"/>
      <c r="U215" s="355">
        <f t="shared" ref="U215:U229" si="45">A215</f>
        <v>0</v>
      </c>
      <c r="V215" s="355"/>
      <c r="W215" s="355"/>
      <c r="X215" s="355"/>
      <c r="Y215" s="355"/>
      <c r="Z215" s="355"/>
      <c r="AA215" s="355"/>
      <c r="AB215" s="355" t="s">
        <v>955</v>
      </c>
      <c r="AC215" s="355" t="s">
        <v>956</v>
      </c>
      <c r="AD215" s="355" t="s">
        <v>599</v>
      </c>
      <c r="AE215" s="355"/>
      <c r="AF215" s="355"/>
      <c r="AG215" s="355"/>
      <c r="AH215" s="355"/>
      <c r="AI215" s="355"/>
      <c r="AJ215" s="219"/>
      <c r="AK215" s="219"/>
      <c r="AL215" s="219"/>
      <c r="AM215" s="399"/>
      <c r="AN215" s="399"/>
      <c r="AO215" s="399"/>
      <c r="AP215" s="399"/>
    </row>
    <row r="216" spans="1:42" x14ac:dyDescent="0.25">
      <c r="A216" s="330"/>
      <c r="B216" s="48" t="s">
        <v>211</v>
      </c>
      <c r="C216" s="78" t="s">
        <v>530</v>
      </c>
      <c r="D216" s="79"/>
      <c r="E216" s="80" t="s">
        <v>212</v>
      </c>
      <c r="F216" s="180" t="s">
        <v>388</v>
      </c>
      <c r="G216" s="176">
        <v>8712044079936</v>
      </c>
      <c r="H216" s="18">
        <v>2</v>
      </c>
      <c r="I216" s="13">
        <v>1</v>
      </c>
      <c r="J216" s="15" t="s">
        <v>213</v>
      </c>
      <c r="K216" s="5" t="s">
        <v>526</v>
      </c>
      <c r="L216" s="200" t="s">
        <v>23</v>
      </c>
      <c r="M216" s="357" t="s">
        <v>19</v>
      </c>
      <c r="N216" s="354" t="s">
        <v>878</v>
      </c>
      <c r="O216" s="355">
        <v>76</v>
      </c>
      <c r="P216" s="355">
        <v>0.16</v>
      </c>
      <c r="Q216" s="355"/>
      <c r="R216" s="355">
        <v>30</v>
      </c>
      <c r="S216" s="355" t="s">
        <v>583</v>
      </c>
      <c r="T216" s="355" t="s">
        <v>583</v>
      </c>
      <c r="U216" s="355">
        <f>A216+AC216</f>
        <v>0</v>
      </c>
      <c r="V216" s="355"/>
      <c r="W216" s="360" t="str">
        <f>IF(U216=0,"",COUNTIF(W$27:W215,"&gt;0")+1)</f>
        <v/>
      </c>
      <c r="X216" s="360" t="str">
        <f>IF(U216=0,"",COUNTIF(X$27:X215,"&gt;0")+1)</f>
        <v/>
      </c>
      <c r="Y216" s="355"/>
      <c r="Z216" s="359">
        <f t="shared" ref="Z216:Z228" si="46">IF(AD216&lt;&gt;"YES",H216*1.5+I216+AA216,"")</f>
        <v>4.0010000000000003</v>
      </c>
      <c r="AA216" s="355">
        <v>1E-3</v>
      </c>
      <c r="AB216" s="355">
        <f t="shared" ref="AB216:AB228" si="47">IFERROR(RANK(Z216,Z$216:Z$228,1),"")</f>
        <v>4</v>
      </c>
      <c r="AC216" s="355">
        <f t="shared" ref="AC216:AC228" si="48">IF(AD216="YES",0,AD$214)+IF(AD$213&gt;=AB216,1,0)</f>
        <v>0</v>
      </c>
      <c r="AD216" s="355" t="str">
        <f t="shared" ref="AD216" si="49">IF(M216="N","YES","")</f>
        <v/>
      </c>
      <c r="AE216" s="355"/>
      <c r="AF216" s="355"/>
      <c r="AG216" s="355"/>
      <c r="AH216" s="355"/>
      <c r="AI216" s="355"/>
      <c r="AJ216" s="219"/>
      <c r="AK216" s="219"/>
      <c r="AL216" s="219"/>
      <c r="AM216" s="399"/>
      <c r="AN216" s="399"/>
      <c r="AO216" s="399"/>
      <c r="AP216" s="399"/>
    </row>
    <row r="217" spans="1:42" ht="15" customHeight="1" x14ac:dyDescent="0.25">
      <c r="A217" s="330"/>
      <c r="B217" s="48" t="s">
        <v>211</v>
      </c>
      <c r="C217" s="78" t="s">
        <v>531</v>
      </c>
      <c r="D217" s="79"/>
      <c r="E217" s="80" t="s">
        <v>214</v>
      </c>
      <c r="F217" s="180" t="s">
        <v>388</v>
      </c>
      <c r="G217" s="176">
        <v>8717191273879</v>
      </c>
      <c r="H217" s="19">
        <v>3</v>
      </c>
      <c r="I217" s="18">
        <v>2</v>
      </c>
      <c r="J217" s="15" t="s">
        <v>215</v>
      </c>
      <c r="K217" s="5" t="s">
        <v>526</v>
      </c>
      <c r="L217" s="200"/>
      <c r="M217" s="357" t="s">
        <v>19</v>
      </c>
      <c r="N217" s="354" t="s">
        <v>879</v>
      </c>
      <c r="O217" s="355">
        <v>77</v>
      </c>
      <c r="P217" s="355">
        <v>0.16</v>
      </c>
      <c r="Q217" s="355"/>
      <c r="R217" s="355">
        <v>30</v>
      </c>
      <c r="S217" s="355" t="s">
        <v>583</v>
      </c>
      <c r="T217" s="355" t="s">
        <v>583</v>
      </c>
      <c r="U217" s="355">
        <f t="shared" ref="U217:U228" si="50">A217+AC217</f>
        <v>0</v>
      </c>
      <c r="V217" s="355"/>
      <c r="W217" s="360" t="str">
        <f>IF(U217=0,"",COUNTIF(W$27:W216,"&gt;0")+1)</f>
        <v/>
      </c>
      <c r="X217" s="360" t="str">
        <f>IF(U217=0,"",COUNTIF(X$27:X216,"&gt;0")+1)</f>
        <v/>
      </c>
      <c r="Y217" s="355"/>
      <c r="Z217" s="359">
        <f t="shared" si="46"/>
        <v>6.5019999999999998</v>
      </c>
      <c r="AA217" s="355">
        <v>2E-3</v>
      </c>
      <c r="AB217" s="355">
        <f t="shared" si="47"/>
        <v>8</v>
      </c>
      <c r="AC217" s="355">
        <f t="shared" si="48"/>
        <v>0</v>
      </c>
      <c r="AD217" s="355" t="str">
        <f t="shared" ref="AD217:AD229" si="51">IF(M217="N","YES","")</f>
        <v/>
      </c>
      <c r="AE217" s="355"/>
      <c r="AF217" s="355"/>
      <c r="AG217" s="355"/>
      <c r="AH217" s="355"/>
      <c r="AI217" s="355"/>
      <c r="AJ217" s="219"/>
      <c r="AK217" s="219"/>
      <c r="AL217" s="219"/>
      <c r="AM217" s="399"/>
      <c r="AN217" s="399"/>
      <c r="AO217" s="399"/>
      <c r="AP217" s="399"/>
    </row>
    <row r="218" spans="1:42" ht="15" customHeight="1" x14ac:dyDescent="0.25">
      <c r="A218" s="330"/>
      <c r="B218" s="48" t="s">
        <v>211</v>
      </c>
      <c r="C218" s="89" t="s">
        <v>216</v>
      </c>
      <c r="D218" s="93"/>
      <c r="E218" s="80" t="s">
        <v>217</v>
      </c>
      <c r="F218" s="180" t="s">
        <v>388</v>
      </c>
      <c r="G218" s="176">
        <v>8712044849614</v>
      </c>
      <c r="H218" s="13">
        <v>1</v>
      </c>
      <c r="I218" s="18">
        <v>2</v>
      </c>
      <c r="J218" s="15" t="s">
        <v>218</v>
      </c>
      <c r="K218" s="5" t="s">
        <v>526</v>
      </c>
      <c r="L218" s="200" t="s">
        <v>23</v>
      </c>
      <c r="M218" s="357" t="s">
        <v>19</v>
      </c>
      <c r="N218" s="354" t="s">
        <v>880</v>
      </c>
      <c r="O218" s="355">
        <v>78</v>
      </c>
      <c r="P218" s="355">
        <v>0.16</v>
      </c>
      <c r="Q218" s="355"/>
      <c r="R218" s="355">
        <v>30</v>
      </c>
      <c r="S218" s="355" t="s">
        <v>583</v>
      </c>
      <c r="T218" s="355" t="s">
        <v>583</v>
      </c>
      <c r="U218" s="355">
        <f t="shared" si="50"/>
        <v>0</v>
      </c>
      <c r="V218" s="355"/>
      <c r="W218" s="360" t="str">
        <f>IF(U218=0,"",COUNTIF(W$27:W217,"&gt;0")+1)</f>
        <v/>
      </c>
      <c r="X218" s="360" t="str">
        <f>IF(U218=0,"",COUNTIF(X$27:X217,"&gt;0")+1)</f>
        <v/>
      </c>
      <c r="Y218" s="355"/>
      <c r="Z218" s="359">
        <f t="shared" si="46"/>
        <v>3.5030000000000001</v>
      </c>
      <c r="AA218" s="355">
        <v>3.0000000000000001E-3</v>
      </c>
      <c r="AB218" s="355">
        <f t="shared" si="47"/>
        <v>3</v>
      </c>
      <c r="AC218" s="355">
        <f t="shared" si="48"/>
        <v>0</v>
      </c>
      <c r="AD218" s="355" t="str">
        <f>IF(M218="N","YES","")</f>
        <v/>
      </c>
      <c r="AE218" s="355"/>
      <c r="AF218" s="355"/>
      <c r="AG218" s="355"/>
      <c r="AH218" s="355"/>
      <c r="AI218" s="355"/>
      <c r="AJ218" s="219"/>
      <c r="AK218" s="219"/>
      <c r="AL218" s="219"/>
      <c r="AM218" s="399"/>
      <c r="AN218" s="399"/>
      <c r="AO218" s="399"/>
      <c r="AP218" s="399"/>
    </row>
    <row r="219" spans="1:42" ht="15" hidden="1" customHeight="1" x14ac:dyDescent="0.25">
      <c r="A219" s="330"/>
      <c r="B219" s="48" t="s">
        <v>211</v>
      </c>
      <c r="C219" s="89" t="s">
        <v>219</v>
      </c>
      <c r="D219" s="93"/>
      <c r="E219" s="80" t="s">
        <v>220</v>
      </c>
      <c r="F219" s="180" t="s">
        <v>388</v>
      </c>
      <c r="G219" s="176">
        <v>8712044849621</v>
      </c>
      <c r="H219" s="13">
        <v>1</v>
      </c>
      <c r="I219" s="13">
        <v>1</v>
      </c>
      <c r="J219" s="15" t="s">
        <v>221</v>
      </c>
      <c r="K219" s="5" t="s">
        <v>526</v>
      </c>
      <c r="L219" s="200" t="s">
        <v>23</v>
      </c>
      <c r="M219" s="356" t="s">
        <v>30</v>
      </c>
      <c r="N219" s="354" t="s">
        <v>881</v>
      </c>
      <c r="O219" s="355"/>
      <c r="P219" s="355">
        <v>0.16</v>
      </c>
      <c r="Q219" s="355"/>
      <c r="R219" s="355">
        <v>30</v>
      </c>
      <c r="S219" s="355" t="s">
        <v>583</v>
      </c>
      <c r="T219" s="355" t="s">
        <v>583</v>
      </c>
      <c r="U219" s="355">
        <f t="shared" si="50"/>
        <v>0</v>
      </c>
      <c r="V219" s="355"/>
      <c r="W219" s="360" t="str">
        <f>IF(U219=0,"",COUNTIF(W$27:W218,"&gt;0")+1)</f>
        <v/>
      </c>
      <c r="X219" s="360" t="str">
        <f>IF(U219=0,"",COUNTIF(X$27:X218,"&gt;0")+1)</f>
        <v/>
      </c>
      <c r="Y219" s="355"/>
      <c r="Z219" s="359" t="str">
        <f t="shared" si="46"/>
        <v/>
      </c>
      <c r="AA219" s="355">
        <v>4.0000000000000001E-3</v>
      </c>
      <c r="AB219" s="355" t="str">
        <f t="shared" si="47"/>
        <v/>
      </c>
      <c r="AC219" s="355">
        <f t="shared" si="48"/>
        <v>0</v>
      </c>
      <c r="AD219" s="355" t="str">
        <f t="shared" si="51"/>
        <v>YES</v>
      </c>
      <c r="AE219" s="355"/>
      <c r="AF219" s="355"/>
      <c r="AG219" s="355"/>
      <c r="AH219" s="355"/>
      <c r="AI219" s="355"/>
      <c r="AJ219" s="219"/>
      <c r="AK219" s="219"/>
      <c r="AL219" s="219"/>
      <c r="AM219" s="399"/>
      <c r="AN219" s="399"/>
      <c r="AO219" s="399"/>
      <c r="AP219" s="399"/>
    </row>
    <row r="220" spans="1:42" ht="15" customHeight="1" x14ac:dyDescent="0.25">
      <c r="A220" s="330"/>
      <c r="B220" s="48" t="s">
        <v>211</v>
      </c>
      <c r="C220" s="89" t="s">
        <v>222</v>
      </c>
      <c r="D220" s="93"/>
      <c r="E220" s="80" t="s">
        <v>223</v>
      </c>
      <c r="F220" s="180" t="s">
        <v>388</v>
      </c>
      <c r="G220" s="176">
        <v>8712815777597</v>
      </c>
      <c r="H220" s="18">
        <v>2</v>
      </c>
      <c r="I220" s="13">
        <v>1</v>
      </c>
      <c r="J220" s="15" t="s">
        <v>224</v>
      </c>
      <c r="K220" s="5" t="s">
        <v>526</v>
      </c>
      <c r="L220" s="200"/>
      <c r="M220" s="357" t="s">
        <v>19</v>
      </c>
      <c r="N220" s="354" t="s">
        <v>882</v>
      </c>
      <c r="O220" s="355">
        <v>79</v>
      </c>
      <c r="P220" s="355">
        <v>0.16</v>
      </c>
      <c r="Q220" s="355"/>
      <c r="R220" s="355">
        <v>30</v>
      </c>
      <c r="S220" s="355" t="s">
        <v>583</v>
      </c>
      <c r="T220" s="355" t="s">
        <v>583</v>
      </c>
      <c r="U220" s="355">
        <f t="shared" si="50"/>
        <v>0</v>
      </c>
      <c r="V220" s="355"/>
      <c r="W220" s="360" t="str">
        <f>IF(U220=0,"",COUNTIF(W$27:W219,"&gt;0")+1)</f>
        <v/>
      </c>
      <c r="X220" s="360" t="str">
        <f>IF(U220=0,"",COUNTIF(X$27:X219,"&gt;0")+1)</f>
        <v/>
      </c>
      <c r="Y220" s="355"/>
      <c r="Z220" s="359">
        <f t="shared" si="46"/>
        <v>4.0049999999999999</v>
      </c>
      <c r="AA220" s="355">
        <v>5.0000000000000001E-3</v>
      </c>
      <c r="AB220" s="355">
        <f t="shared" si="47"/>
        <v>5</v>
      </c>
      <c r="AC220" s="355">
        <f t="shared" si="48"/>
        <v>0</v>
      </c>
      <c r="AD220" s="355" t="str">
        <f t="shared" si="51"/>
        <v/>
      </c>
      <c r="AE220" s="355"/>
      <c r="AF220" s="355"/>
      <c r="AG220" s="355"/>
      <c r="AH220" s="355"/>
      <c r="AI220" s="355"/>
      <c r="AJ220" s="219"/>
      <c r="AK220" s="219"/>
      <c r="AL220" s="219"/>
      <c r="AM220" s="399"/>
      <c r="AN220" s="399"/>
      <c r="AO220" s="399"/>
      <c r="AP220" s="399"/>
    </row>
    <row r="221" spans="1:42" ht="15" customHeight="1" x14ac:dyDescent="0.25">
      <c r="A221" s="330"/>
      <c r="B221" s="48" t="s">
        <v>211</v>
      </c>
      <c r="C221" s="89" t="s">
        <v>480</v>
      </c>
      <c r="D221" s="93"/>
      <c r="E221" s="80" t="s">
        <v>481</v>
      </c>
      <c r="F221" s="180" t="s">
        <v>388</v>
      </c>
      <c r="G221" s="176">
        <v>8712044849638</v>
      </c>
      <c r="H221" s="18">
        <v>2</v>
      </c>
      <c r="I221" s="18">
        <v>2</v>
      </c>
      <c r="J221" s="15" t="s">
        <v>482</v>
      </c>
      <c r="K221" s="5" t="s">
        <v>18</v>
      </c>
      <c r="L221" s="200" t="s">
        <v>23</v>
      </c>
      <c r="M221" s="357" t="s">
        <v>19</v>
      </c>
      <c r="N221" s="354" t="s">
        <v>883</v>
      </c>
      <c r="O221" s="355">
        <v>80</v>
      </c>
      <c r="P221" s="355">
        <v>0.16</v>
      </c>
      <c r="Q221" s="355"/>
      <c r="R221" s="355">
        <v>30</v>
      </c>
      <c r="S221" s="355" t="s">
        <v>583</v>
      </c>
      <c r="T221" s="355" t="s">
        <v>583</v>
      </c>
      <c r="U221" s="355">
        <f t="shared" si="50"/>
        <v>0</v>
      </c>
      <c r="V221" s="355"/>
      <c r="W221" s="360" t="str">
        <f>IF(U221=0,"",COUNTIF(W$27:W220,"&gt;0")+1)</f>
        <v/>
      </c>
      <c r="X221" s="360" t="str">
        <f>IF(U221=0,"",COUNTIF(X$27:X220,"&gt;0")+1)</f>
        <v/>
      </c>
      <c r="Y221" s="355"/>
      <c r="Z221" s="359">
        <f t="shared" si="46"/>
        <v>5.0060000000000002</v>
      </c>
      <c r="AA221" s="355">
        <v>6.0000000000000001E-3</v>
      </c>
      <c r="AB221" s="355">
        <f t="shared" si="47"/>
        <v>6</v>
      </c>
      <c r="AC221" s="355">
        <f t="shared" si="48"/>
        <v>0</v>
      </c>
      <c r="AD221" s="355" t="str">
        <f t="shared" si="51"/>
        <v/>
      </c>
      <c r="AE221" s="355"/>
      <c r="AF221" s="355"/>
      <c r="AG221" s="355"/>
      <c r="AH221" s="355"/>
      <c r="AI221" s="355"/>
      <c r="AJ221" s="219"/>
      <c r="AK221" s="219"/>
      <c r="AL221" s="219"/>
      <c r="AM221" s="399"/>
      <c r="AN221" s="399"/>
      <c r="AO221" s="399"/>
      <c r="AP221" s="399"/>
    </row>
    <row r="222" spans="1:42" x14ac:dyDescent="0.25">
      <c r="A222" s="330"/>
      <c r="B222" s="48" t="s">
        <v>211</v>
      </c>
      <c r="C222" s="89" t="s">
        <v>228</v>
      </c>
      <c r="D222" s="93"/>
      <c r="E222" s="80" t="s">
        <v>229</v>
      </c>
      <c r="F222" s="180" t="s">
        <v>388</v>
      </c>
      <c r="G222" s="176">
        <v>8717191273817</v>
      </c>
      <c r="H222" s="19">
        <v>3</v>
      </c>
      <c r="I222" s="13">
        <v>1</v>
      </c>
      <c r="J222" s="15" t="s">
        <v>230</v>
      </c>
      <c r="K222" s="5" t="s">
        <v>526</v>
      </c>
      <c r="L222" s="200"/>
      <c r="M222" s="357" t="s">
        <v>19</v>
      </c>
      <c r="N222" s="354" t="s">
        <v>884</v>
      </c>
      <c r="O222" s="355">
        <v>81</v>
      </c>
      <c r="P222" s="355">
        <v>0.16</v>
      </c>
      <c r="Q222" s="355"/>
      <c r="R222" s="355">
        <v>30</v>
      </c>
      <c r="S222" s="355" t="s">
        <v>583</v>
      </c>
      <c r="T222" s="355" t="s">
        <v>583</v>
      </c>
      <c r="U222" s="355">
        <f t="shared" si="50"/>
        <v>0</v>
      </c>
      <c r="V222" s="355"/>
      <c r="W222" s="360" t="str">
        <f>IF(U222=0,"",COUNTIF(W$27:W221,"&gt;0")+1)</f>
        <v/>
      </c>
      <c r="X222" s="360" t="str">
        <f>IF(U222=0,"",COUNTIF(X$27:X221,"&gt;0")+1)</f>
        <v/>
      </c>
      <c r="Y222" s="355"/>
      <c r="Z222" s="359">
        <f t="shared" si="46"/>
        <v>5.5069999999999997</v>
      </c>
      <c r="AA222" s="355">
        <v>7.0000000000000001E-3</v>
      </c>
      <c r="AB222" s="355">
        <f t="shared" si="47"/>
        <v>7</v>
      </c>
      <c r="AC222" s="355">
        <f t="shared" si="48"/>
        <v>0</v>
      </c>
      <c r="AD222" s="355" t="str">
        <f t="shared" si="51"/>
        <v/>
      </c>
      <c r="AE222" s="355"/>
      <c r="AF222" s="355"/>
      <c r="AG222" s="355"/>
      <c r="AH222" s="355"/>
      <c r="AI222" s="355"/>
      <c r="AJ222" s="219"/>
      <c r="AK222" s="219"/>
      <c r="AL222" s="219"/>
      <c r="AM222" s="399"/>
      <c r="AN222" s="399"/>
      <c r="AO222" s="399"/>
      <c r="AP222" s="399"/>
    </row>
    <row r="223" spans="1:42" ht="15" hidden="1" customHeight="1" x14ac:dyDescent="0.25">
      <c r="A223" s="330"/>
      <c r="B223" s="48" t="s">
        <v>211</v>
      </c>
      <c r="C223" s="89" t="s">
        <v>231</v>
      </c>
      <c r="D223" s="93"/>
      <c r="E223" s="80" t="s">
        <v>239</v>
      </c>
      <c r="F223" s="180" t="s">
        <v>388</v>
      </c>
      <c r="G223" s="176">
        <v>8717191273695</v>
      </c>
      <c r="H223" s="13">
        <v>1</v>
      </c>
      <c r="I223" s="13">
        <v>1</v>
      </c>
      <c r="J223" s="15" t="s">
        <v>232</v>
      </c>
      <c r="K223" s="5" t="s">
        <v>526</v>
      </c>
      <c r="L223" s="200"/>
      <c r="M223" s="357" t="s">
        <v>30</v>
      </c>
      <c r="N223" s="354" t="s">
        <v>886</v>
      </c>
      <c r="O223" s="355">
        <v>82</v>
      </c>
      <c r="P223" s="355">
        <v>0.16</v>
      </c>
      <c r="Q223" s="355"/>
      <c r="R223" s="355">
        <v>30</v>
      </c>
      <c r="S223" s="355" t="s">
        <v>583</v>
      </c>
      <c r="T223" s="355" t="s">
        <v>583</v>
      </c>
      <c r="U223" s="355">
        <f t="shared" si="50"/>
        <v>0</v>
      </c>
      <c r="V223" s="355"/>
      <c r="W223" s="360" t="str">
        <f>IF(U223=0,"",COUNTIF(W$27:W222,"&gt;0")+1)</f>
        <v/>
      </c>
      <c r="X223" s="360" t="str">
        <f>IF(U223=0,"",COUNTIF(X$27:X222,"&gt;0")+1)</f>
        <v/>
      </c>
      <c r="Y223" s="355"/>
      <c r="Z223" s="359" t="str">
        <f t="shared" si="46"/>
        <v/>
      </c>
      <c r="AA223" s="355">
        <v>8.0000000000000002E-3</v>
      </c>
      <c r="AB223" s="355" t="str">
        <f t="shared" si="47"/>
        <v/>
      </c>
      <c r="AC223" s="355">
        <f t="shared" si="48"/>
        <v>0</v>
      </c>
      <c r="AD223" s="355" t="str">
        <f t="shared" si="51"/>
        <v>YES</v>
      </c>
      <c r="AE223" s="355"/>
      <c r="AF223" s="355"/>
      <c r="AG223" s="355"/>
      <c r="AH223" s="355"/>
      <c r="AI223" s="355"/>
      <c r="AJ223" s="219"/>
      <c r="AK223" s="219"/>
      <c r="AL223" s="219"/>
      <c r="AM223" s="399"/>
      <c r="AN223" s="399"/>
      <c r="AO223" s="399"/>
      <c r="AP223" s="399"/>
    </row>
    <row r="224" spans="1:42" ht="15" customHeight="1" x14ac:dyDescent="0.25">
      <c r="A224" s="330"/>
      <c r="B224" s="48" t="s">
        <v>211</v>
      </c>
      <c r="C224" s="89" t="s">
        <v>233</v>
      </c>
      <c r="D224" s="93"/>
      <c r="E224" s="80" t="s">
        <v>234</v>
      </c>
      <c r="F224" s="180" t="s">
        <v>388</v>
      </c>
      <c r="G224" s="176">
        <v>8712815741499</v>
      </c>
      <c r="H224" s="13">
        <v>1</v>
      </c>
      <c r="I224" s="13">
        <v>1</v>
      </c>
      <c r="J224" s="15" t="s">
        <v>235</v>
      </c>
      <c r="K224" s="5" t="s">
        <v>526</v>
      </c>
      <c r="L224" s="200"/>
      <c r="M224" s="357" t="s">
        <v>19</v>
      </c>
      <c r="N224" s="354" t="s">
        <v>885</v>
      </c>
      <c r="O224" s="355">
        <v>83</v>
      </c>
      <c r="P224" s="355">
        <v>0.16</v>
      </c>
      <c r="Q224" s="355"/>
      <c r="R224" s="355">
        <v>30</v>
      </c>
      <c r="S224" s="355" t="s">
        <v>583</v>
      </c>
      <c r="T224" s="355" t="s">
        <v>583</v>
      </c>
      <c r="U224" s="355">
        <f t="shared" si="50"/>
        <v>0</v>
      </c>
      <c r="V224" s="355"/>
      <c r="W224" s="360" t="str">
        <f>IF(U224=0,"",COUNTIF(W$27:W223,"&gt;0")+1)</f>
        <v/>
      </c>
      <c r="X224" s="360" t="str">
        <f>IF(U224=0,"",COUNTIF(X$27:X223,"&gt;0")+1)</f>
        <v/>
      </c>
      <c r="Y224" s="355"/>
      <c r="Z224" s="359">
        <f t="shared" si="46"/>
        <v>2.5089999999999999</v>
      </c>
      <c r="AA224" s="355">
        <v>8.9999999999999993E-3</v>
      </c>
      <c r="AB224" s="355">
        <f t="shared" si="47"/>
        <v>1</v>
      </c>
      <c r="AC224" s="355">
        <f t="shared" si="48"/>
        <v>0</v>
      </c>
      <c r="AD224" s="355" t="str">
        <f t="shared" si="51"/>
        <v/>
      </c>
      <c r="AE224" s="355"/>
      <c r="AF224" s="355"/>
      <c r="AG224" s="355"/>
      <c r="AH224" s="355"/>
      <c r="AI224" s="355"/>
      <c r="AJ224" s="219"/>
      <c r="AK224" s="219"/>
      <c r="AL224" s="219"/>
      <c r="AM224" s="399"/>
      <c r="AN224" s="399"/>
      <c r="AO224" s="399"/>
      <c r="AP224" s="399"/>
    </row>
    <row r="225" spans="1:42" ht="15" hidden="1" customHeight="1" x14ac:dyDescent="0.25">
      <c r="A225" s="330"/>
      <c r="B225" s="48" t="s">
        <v>211</v>
      </c>
      <c r="C225" s="156" t="s">
        <v>256</v>
      </c>
      <c r="D225" s="93"/>
      <c r="E225" s="80" t="s">
        <v>418</v>
      </c>
      <c r="F225" s="180" t="s">
        <v>388</v>
      </c>
      <c r="G225" s="176">
        <v>8712044849652</v>
      </c>
      <c r="H225" s="13">
        <v>1</v>
      </c>
      <c r="I225" s="18">
        <v>2</v>
      </c>
      <c r="J225" s="15" t="s">
        <v>420</v>
      </c>
      <c r="K225" s="5" t="s">
        <v>532</v>
      </c>
      <c r="L225" s="200"/>
      <c r="M225" s="356" t="s">
        <v>30</v>
      </c>
      <c r="N225" s="355" t="s">
        <v>887</v>
      </c>
      <c r="O225" s="355"/>
      <c r="P225" s="355">
        <v>0.16</v>
      </c>
      <c r="Q225" s="355"/>
      <c r="R225" s="355">
        <v>30</v>
      </c>
      <c r="S225" s="355" t="s">
        <v>583</v>
      </c>
      <c r="T225" s="355" t="s">
        <v>583</v>
      </c>
      <c r="U225" s="355">
        <f t="shared" si="50"/>
        <v>0</v>
      </c>
      <c r="V225" s="355"/>
      <c r="W225" s="360" t="str">
        <f>IF(U225=0,"",COUNTIF(W$27:W224,"&gt;0")+1)</f>
        <v/>
      </c>
      <c r="X225" s="360" t="str">
        <f>IF(U225=0,"",COUNTIF(X$27:X224,"&gt;0")+1)</f>
        <v/>
      </c>
      <c r="Y225" s="355"/>
      <c r="Z225" s="359" t="str">
        <f t="shared" si="46"/>
        <v/>
      </c>
      <c r="AA225" s="355">
        <v>0.01</v>
      </c>
      <c r="AB225" s="355" t="str">
        <f t="shared" si="47"/>
        <v/>
      </c>
      <c r="AC225" s="355">
        <f t="shared" si="48"/>
        <v>0</v>
      </c>
      <c r="AD225" s="355" t="str">
        <f t="shared" si="51"/>
        <v>YES</v>
      </c>
      <c r="AE225" s="355"/>
      <c r="AF225" s="355"/>
      <c r="AG225" s="355"/>
      <c r="AH225" s="355"/>
      <c r="AI225" s="355"/>
      <c r="AJ225" s="219"/>
      <c r="AK225" s="219"/>
      <c r="AL225" s="219"/>
      <c r="AM225" s="399"/>
      <c r="AN225" s="399"/>
      <c r="AO225" s="399"/>
      <c r="AP225" s="399"/>
    </row>
    <row r="226" spans="1:42" ht="15" hidden="1" customHeight="1" x14ac:dyDescent="0.25">
      <c r="A226" s="330"/>
      <c r="B226" s="48" t="s">
        <v>211</v>
      </c>
      <c r="C226" s="156" t="s">
        <v>416</v>
      </c>
      <c r="D226" s="93"/>
      <c r="E226" s="80" t="s">
        <v>419</v>
      </c>
      <c r="F226" s="180" t="s">
        <v>388</v>
      </c>
      <c r="G226" s="176">
        <v>8717191273640</v>
      </c>
      <c r="H226" s="18">
        <v>2</v>
      </c>
      <c r="I226" s="13">
        <v>1</v>
      </c>
      <c r="J226" s="15" t="s">
        <v>421</v>
      </c>
      <c r="K226" s="5" t="s">
        <v>526</v>
      </c>
      <c r="L226" s="200"/>
      <c r="M226" s="356" t="s">
        <v>30</v>
      </c>
      <c r="N226" s="355" t="s">
        <v>888</v>
      </c>
      <c r="O226" s="355"/>
      <c r="P226" s="355">
        <v>0.16</v>
      </c>
      <c r="Q226" s="355"/>
      <c r="R226" s="355">
        <v>30</v>
      </c>
      <c r="S226" s="355" t="s">
        <v>583</v>
      </c>
      <c r="T226" s="355" t="s">
        <v>583</v>
      </c>
      <c r="U226" s="355">
        <f t="shared" si="50"/>
        <v>0</v>
      </c>
      <c r="V226" s="355"/>
      <c r="W226" s="360" t="str">
        <f>IF(U226=0,"",COUNTIF(W$27:W225,"&gt;0")+1)</f>
        <v/>
      </c>
      <c r="X226" s="360" t="str">
        <f>IF(U226=0,"",COUNTIF(X$27:X225,"&gt;0")+1)</f>
        <v/>
      </c>
      <c r="Y226" s="355"/>
      <c r="Z226" s="359" t="str">
        <f t="shared" si="46"/>
        <v/>
      </c>
      <c r="AA226" s="355">
        <v>1.0999999999999999E-2</v>
      </c>
      <c r="AB226" s="355" t="str">
        <f t="shared" si="47"/>
        <v/>
      </c>
      <c r="AC226" s="355">
        <f t="shared" si="48"/>
        <v>0</v>
      </c>
      <c r="AD226" s="355" t="str">
        <f t="shared" si="51"/>
        <v>YES</v>
      </c>
      <c r="AE226" s="355"/>
      <c r="AF226" s="355"/>
      <c r="AG226" s="355"/>
      <c r="AH226" s="355"/>
      <c r="AI226" s="355"/>
      <c r="AJ226" s="219"/>
      <c r="AK226" s="219"/>
      <c r="AL226" s="219"/>
      <c r="AM226" s="399"/>
      <c r="AN226" s="399"/>
      <c r="AO226" s="399"/>
      <c r="AP226" s="399"/>
    </row>
    <row r="227" spans="1:42" ht="15" hidden="1" customHeight="1" x14ac:dyDescent="0.25">
      <c r="A227" s="330"/>
      <c r="B227" s="48" t="s">
        <v>211</v>
      </c>
      <c r="C227" s="156" t="s">
        <v>417</v>
      </c>
      <c r="D227" s="93"/>
      <c r="E227" s="80" t="s">
        <v>419</v>
      </c>
      <c r="F227" s="180" t="s">
        <v>388</v>
      </c>
      <c r="G227" s="176">
        <v>8717191273596</v>
      </c>
      <c r="H227" s="18">
        <v>2</v>
      </c>
      <c r="I227" s="13">
        <v>1</v>
      </c>
      <c r="J227" s="15" t="s">
        <v>422</v>
      </c>
      <c r="K227" s="5" t="s">
        <v>526</v>
      </c>
      <c r="L227" s="200"/>
      <c r="M227" s="356" t="s">
        <v>30</v>
      </c>
      <c r="N227" s="355" t="s">
        <v>889</v>
      </c>
      <c r="O227" s="355"/>
      <c r="P227" s="355">
        <v>0.16</v>
      </c>
      <c r="Q227" s="355"/>
      <c r="R227" s="355">
        <v>30</v>
      </c>
      <c r="S227" s="355" t="s">
        <v>583</v>
      </c>
      <c r="T227" s="355" t="s">
        <v>583</v>
      </c>
      <c r="U227" s="355">
        <f t="shared" si="50"/>
        <v>0</v>
      </c>
      <c r="V227" s="355"/>
      <c r="W227" s="360" t="str">
        <f>IF(U227=0,"",COUNTIF(W$27:W226,"&gt;0")+1)</f>
        <v/>
      </c>
      <c r="X227" s="360" t="str">
        <f>IF(U227=0,"",COUNTIF(X$27:X226,"&gt;0")+1)</f>
        <v/>
      </c>
      <c r="Y227" s="355"/>
      <c r="Z227" s="359" t="str">
        <f t="shared" si="46"/>
        <v/>
      </c>
      <c r="AA227" s="355">
        <v>1.2E-2</v>
      </c>
      <c r="AB227" s="355" t="str">
        <f t="shared" si="47"/>
        <v/>
      </c>
      <c r="AC227" s="355">
        <f t="shared" si="48"/>
        <v>0</v>
      </c>
      <c r="AD227" s="355" t="str">
        <f t="shared" si="51"/>
        <v>YES</v>
      </c>
      <c r="AE227" s="355"/>
      <c r="AF227" s="355"/>
      <c r="AG227" s="355"/>
      <c r="AH227" s="355"/>
      <c r="AI227" s="355"/>
      <c r="AJ227" s="219"/>
      <c r="AK227" s="219"/>
      <c r="AL227" s="219"/>
      <c r="AM227" s="399"/>
      <c r="AN227" s="399"/>
      <c r="AO227" s="399"/>
      <c r="AP227" s="399"/>
    </row>
    <row r="228" spans="1:42" x14ac:dyDescent="0.25">
      <c r="A228" s="330"/>
      <c r="B228" s="48" t="s">
        <v>211</v>
      </c>
      <c r="C228" s="162" t="s">
        <v>236</v>
      </c>
      <c r="D228" s="93"/>
      <c r="E228" s="80" t="s">
        <v>237</v>
      </c>
      <c r="F228" s="180" t="s">
        <v>388</v>
      </c>
      <c r="G228" s="176">
        <v>8712815741505</v>
      </c>
      <c r="H228" s="13">
        <v>1</v>
      </c>
      <c r="I228" s="13">
        <v>1</v>
      </c>
      <c r="J228" s="15" t="s">
        <v>238</v>
      </c>
      <c r="K228" s="5" t="s">
        <v>526</v>
      </c>
      <c r="L228" s="200"/>
      <c r="M228" s="357" t="s">
        <v>19</v>
      </c>
      <c r="N228" s="354" t="s">
        <v>890</v>
      </c>
      <c r="O228" s="355">
        <v>84</v>
      </c>
      <c r="P228" s="355">
        <v>0.16</v>
      </c>
      <c r="Q228" s="355"/>
      <c r="R228" s="355">
        <v>30</v>
      </c>
      <c r="S228" s="355" t="s">
        <v>583</v>
      </c>
      <c r="T228" s="355" t="s">
        <v>583</v>
      </c>
      <c r="U228" s="355">
        <f t="shared" si="50"/>
        <v>0</v>
      </c>
      <c r="V228" s="355"/>
      <c r="W228" s="360" t="str">
        <f>IF(U228=0,"",COUNTIF(W$27:W227,"&gt;0")+1)</f>
        <v/>
      </c>
      <c r="X228" s="360" t="str">
        <f>IF(U228=0,"",COUNTIF(X$27:X227,"&gt;0")+1)</f>
        <v/>
      </c>
      <c r="Y228" s="355"/>
      <c r="Z228" s="359">
        <f t="shared" si="46"/>
        <v>2.5129999999999999</v>
      </c>
      <c r="AA228" s="355">
        <v>1.2999999999999999E-2</v>
      </c>
      <c r="AB228" s="355">
        <f t="shared" si="47"/>
        <v>2</v>
      </c>
      <c r="AC228" s="355">
        <f t="shared" si="48"/>
        <v>0</v>
      </c>
      <c r="AD228" s="355" t="str">
        <f t="shared" si="51"/>
        <v/>
      </c>
      <c r="AE228" s="355"/>
      <c r="AF228" s="355"/>
      <c r="AG228" s="355"/>
      <c r="AH228" s="355"/>
      <c r="AI228" s="355"/>
      <c r="AJ228" s="219"/>
      <c r="AK228" s="219"/>
      <c r="AL228" s="219"/>
      <c r="AM228" s="399"/>
      <c r="AN228" s="399"/>
      <c r="AO228" s="399"/>
      <c r="AP228" s="399"/>
    </row>
    <row r="229" spans="1:42" x14ac:dyDescent="0.25">
      <c r="A229" s="59">
        <f>SUM(A215:A228)</f>
        <v>0</v>
      </c>
      <c r="B229" s="48" t="s">
        <v>211</v>
      </c>
      <c r="C229" s="28" t="s">
        <v>164</v>
      </c>
      <c r="D229" s="28"/>
      <c r="E229" s="21"/>
      <c r="F229" s="21"/>
      <c r="G229" s="21"/>
      <c r="L229" s="25"/>
      <c r="M229" s="357"/>
      <c r="N229" s="357"/>
      <c r="O229" s="355"/>
      <c r="P229" s="355"/>
      <c r="Q229" s="355"/>
      <c r="R229" s="355"/>
      <c r="S229" s="355" t="s">
        <v>583</v>
      </c>
      <c r="T229" s="355"/>
      <c r="U229" s="355">
        <f t="shared" si="45"/>
        <v>0</v>
      </c>
      <c r="V229" s="355"/>
      <c r="W229" s="360" t="str">
        <f>IF(U229=0,"",COUNTIF(W$27:W228,"&gt;0")+1)</f>
        <v/>
      </c>
      <c r="X229" s="355"/>
      <c r="Y229" s="355"/>
      <c r="Z229" s="355"/>
      <c r="AA229" s="355"/>
      <c r="AB229" s="355"/>
      <c r="AC229" s="355"/>
      <c r="AD229" s="355" t="str">
        <f t="shared" si="51"/>
        <v/>
      </c>
      <c r="AE229" s="355"/>
      <c r="AF229" s="355"/>
      <c r="AG229" s="355"/>
      <c r="AH229" s="355"/>
      <c r="AI229" s="355"/>
      <c r="AJ229" s="219"/>
      <c r="AK229" s="219"/>
      <c r="AL229" s="219"/>
      <c r="AM229" s="399"/>
      <c r="AN229" s="399"/>
      <c r="AO229" s="399"/>
      <c r="AP229" s="399"/>
    </row>
    <row r="230" spans="1:42" x14ac:dyDescent="0.25">
      <c r="A230" s="60"/>
      <c r="B230" s="21"/>
      <c r="C230" s="28"/>
      <c r="D230" s="28"/>
      <c r="E230" s="21"/>
      <c r="F230" s="21"/>
      <c r="G230" s="21"/>
      <c r="L230" s="25"/>
      <c r="M230" s="357"/>
      <c r="N230" s="357"/>
      <c r="O230" s="355"/>
      <c r="P230" s="355"/>
      <c r="Q230" s="355"/>
      <c r="R230" s="355"/>
      <c r="S230" s="355"/>
      <c r="T230" s="355"/>
      <c r="U230" s="355"/>
      <c r="V230" s="355"/>
      <c r="W230" s="355"/>
      <c r="X230" s="355"/>
      <c r="Y230" s="355"/>
      <c r="Z230" s="355"/>
      <c r="AA230" s="355"/>
      <c r="AB230" s="355"/>
      <c r="AC230" s="355"/>
      <c r="AD230" s="355"/>
      <c r="AE230" s="355"/>
      <c r="AF230" s="355"/>
      <c r="AG230" s="355"/>
      <c r="AH230" s="355"/>
      <c r="AI230" s="355"/>
      <c r="AJ230" s="219"/>
      <c r="AK230" s="219"/>
      <c r="AL230" s="219"/>
      <c r="AM230" s="399"/>
      <c r="AN230" s="399"/>
      <c r="AO230" s="399"/>
      <c r="AP230" s="399"/>
    </row>
    <row r="231" spans="1:42" ht="28.5" x14ac:dyDescent="0.25">
      <c r="A231" s="67" t="s">
        <v>438</v>
      </c>
      <c r="B231" s="67"/>
      <c r="C231" s="67"/>
      <c r="D231" s="67"/>
      <c r="E231" s="67"/>
      <c r="F231" s="67"/>
      <c r="G231" s="67"/>
      <c r="H231" s="67"/>
      <c r="I231" s="67"/>
      <c r="L231" s="25"/>
      <c r="M231" s="354"/>
      <c r="N231" s="354"/>
      <c r="O231" s="355"/>
      <c r="P231" s="355"/>
      <c r="Q231" s="355"/>
      <c r="R231" s="355"/>
      <c r="S231" s="355"/>
      <c r="T231" s="355"/>
      <c r="U231" s="355"/>
      <c r="V231" s="355"/>
      <c r="W231" s="355"/>
      <c r="X231" s="355"/>
      <c r="Y231" s="355"/>
      <c r="Z231" s="355"/>
      <c r="AA231" s="355"/>
      <c r="AB231" s="355"/>
      <c r="AC231" s="355"/>
      <c r="AD231" s="355"/>
      <c r="AE231" s="355"/>
      <c r="AF231" s="355"/>
      <c r="AG231" s="355"/>
      <c r="AH231" s="355"/>
      <c r="AI231" s="355"/>
      <c r="AJ231" s="219"/>
      <c r="AK231" s="219"/>
      <c r="AL231" s="219"/>
      <c r="AM231" s="399"/>
      <c r="AN231" s="399"/>
      <c r="AO231" s="399"/>
      <c r="AP231" s="399"/>
    </row>
    <row r="232" spans="1:42" x14ac:dyDescent="0.25">
      <c r="A232" s="368" t="s">
        <v>0</v>
      </c>
      <c r="B232" s="369"/>
      <c r="C232" s="368" t="s">
        <v>165</v>
      </c>
      <c r="D232" s="71"/>
      <c r="E232" s="72"/>
      <c r="F232" s="139" t="s">
        <v>385</v>
      </c>
      <c r="G232" s="382" t="s">
        <v>508</v>
      </c>
      <c r="H232" s="103" t="s">
        <v>3</v>
      </c>
      <c r="I232" s="103" t="s">
        <v>4</v>
      </c>
      <c r="J232" s="380" t="s">
        <v>494</v>
      </c>
      <c r="K232" s="380" t="s">
        <v>5</v>
      </c>
      <c r="L232" s="380" t="s">
        <v>6</v>
      </c>
      <c r="M232" s="356" t="s">
        <v>2</v>
      </c>
      <c r="N232" s="357"/>
      <c r="O232" s="355"/>
      <c r="P232" s="355"/>
      <c r="Q232" s="355"/>
      <c r="R232" s="355"/>
      <c r="S232" s="355"/>
      <c r="T232" s="355"/>
      <c r="U232" s="355"/>
      <c r="V232" s="355"/>
      <c r="W232" s="355"/>
      <c r="X232" s="355"/>
      <c r="Y232" s="355"/>
      <c r="Z232" s="355"/>
      <c r="AA232" s="355"/>
      <c r="AB232" s="355"/>
      <c r="AC232" s="355"/>
      <c r="AD232" s="355">
        <f>U234-ROUNDDOWN(U234/AC233,0)*AC233</f>
        <v>0</v>
      </c>
      <c r="AE232" s="355"/>
      <c r="AF232" s="355"/>
      <c r="AG232" s="355"/>
      <c r="AH232" s="355"/>
      <c r="AI232" s="355"/>
      <c r="AJ232" s="219"/>
      <c r="AK232" s="219"/>
      <c r="AL232" s="219"/>
      <c r="AM232" s="399"/>
      <c r="AN232" s="399"/>
      <c r="AO232" s="399"/>
      <c r="AP232" s="399"/>
    </row>
    <row r="233" spans="1:42" x14ac:dyDescent="0.25">
      <c r="A233" s="370"/>
      <c r="B233" s="371"/>
      <c r="C233" s="370"/>
      <c r="D233" s="74"/>
      <c r="E233" s="75"/>
      <c r="F233" s="140" t="s">
        <v>386</v>
      </c>
      <c r="G233" s="383"/>
      <c r="H233" s="104" t="s">
        <v>8</v>
      </c>
      <c r="I233" s="104" t="s">
        <v>9</v>
      </c>
      <c r="J233" s="381"/>
      <c r="K233" s="381"/>
      <c r="L233" s="381"/>
      <c r="M233" s="356" t="s">
        <v>7</v>
      </c>
      <c r="N233" s="357"/>
      <c r="O233" s="355"/>
      <c r="P233" s="355"/>
      <c r="Q233" s="355"/>
      <c r="R233" s="355"/>
      <c r="S233" s="355"/>
      <c r="T233" s="355"/>
      <c r="U233" s="355"/>
      <c r="V233" s="355"/>
      <c r="W233" s="355"/>
      <c r="X233" s="355"/>
      <c r="Y233" s="355"/>
      <c r="Z233" s="355"/>
      <c r="AA233" s="355"/>
      <c r="AB233" s="355"/>
      <c r="AC233" s="355">
        <f>COUNT(AB235:AB247)</f>
        <v>8</v>
      </c>
      <c r="AD233" s="355">
        <f>ROUNDDOWN((U234-1)/AC233,0)</f>
        <v>0</v>
      </c>
      <c r="AE233" s="355"/>
      <c r="AF233" s="355"/>
      <c r="AG233" s="355"/>
      <c r="AH233" s="355"/>
      <c r="AI233" s="355"/>
      <c r="AJ233" s="219"/>
      <c r="AK233" s="219"/>
      <c r="AL233" s="219"/>
      <c r="AM233" s="399"/>
      <c r="AN233" s="399"/>
      <c r="AO233" s="399"/>
      <c r="AP233" s="399"/>
    </row>
    <row r="234" spans="1:42" x14ac:dyDescent="0.25">
      <c r="A234" s="336"/>
      <c r="B234" s="48" t="s">
        <v>168</v>
      </c>
      <c r="C234" s="73" t="s">
        <v>584</v>
      </c>
      <c r="D234" s="74"/>
      <c r="E234" s="75"/>
      <c r="F234" s="259"/>
      <c r="G234" s="205"/>
      <c r="H234" s="104"/>
      <c r="I234" s="104"/>
      <c r="J234" s="131"/>
      <c r="K234" s="174"/>
      <c r="L234" s="214"/>
      <c r="M234" s="357"/>
      <c r="N234" s="357"/>
      <c r="O234" s="355"/>
      <c r="P234" s="355"/>
      <c r="Q234" s="355"/>
      <c r="R234" s="355"/>
      <c r="S234" s="355"/>
      <c r="T234" s="355"/>
      <c r="U234" s="355">
        <f t="shared" ref="U234:U248" si="52">A234</f>
        <v>0</v>
      </c>
      <c r="V234" s="355"/>
      <c r="W234" s="355"/>
      <c r="X234" s="355"/>
      <c r="Y234" s="355"/>
      <c r="Z234" s="355"/>
      <c r="AA234" s="355"/>
      <c r="AB234" s="355" t="s">
        <v>955</v>
      </c>
      <c r="AC234" s="355" t="s">
        <v>956</v>
      </c>
      <c r="AD234" s="355" t="s">
        <v>599</v>
      </c>
      <c r="AE234" s="355"/>
      <c r="AF234" s="355"/>
      <c r="AG234" s="355"/>
      <c r="AH234" s="355"/>
      <c r="AI234" s="355"/>
      <c r="AJ234" s="219"/>
      <c r="AK234" s="219"/>
      <c r="AL234" s="219"/>
      <c r="AM234" s="399"/>
      <c r="AN234" s="399"/>
      <c r="AO234" s="399"/>
      <c r="AP234" s="399"/>
    </row>
    <row r="235" spans="1:42" ht="15" customHeight="1" x14ac:dyDescent="0.25">
      <c r="A235" s="330"/>
      <c r="B235" s="48" t="s">
        <v>168</v>
      </c>
      <c r="C235" s="78" t="s">
        <v>493</v>
      </c>
      <c r="D235" s="79"/>
      <c r="E235" s="80" t="s">
        <v>212</v>
      </c>
      <c r="F235" s="180" t="s">
        <v>400</v>
      </c>
      <c r="G235" s="176">
        <v>8717191274012</v>
      </c>
      <c r="H235" s="18">
        <v>2</v>
      </c>
      <c r="I235" s="18">
        <v>2</v>
      </c>
      <c r="J235" s="15" t="s">
        <v>213</v>
      </c>
      <c r="K235" s="5" t="s">
        <v>526</v>
      </c>
      <c r="L235" s="200" t="s">
        <v>23</v>
      </c>
      <c r="M235" s="357" t="s">
        <v>19</v>
      </c>
      <c r="N235" s="355" t="s">
        <v>891</v>
      </c>
      <c r="O235" s="355">
        <v>131</v>
      </c>
      <c r="P235" s="355">
        <v>0.14199999999999999</v>
      </c>
      <c r="Q235" s="355"/>
      <c r="R235" s="355">
        <v>35</v>
      </c>
      <c r="S235" s="355" t="s">
        <v>585</v>
      </c>
      <c r="T235" s="355" t="s">
        <v>612</v>
      </c>
      <c r="U235" s="355">
        <f>A235+AC235</f>
        <v>0</v>
      </c>
      <c r="V235" s="355"/>
      <c r="W235" s="360" t="str">
        <f>IF(U235=0,"",COUNTIF(W$27:W234,"&gt;0")+1)</f>
        <v/>
      </c>
      <c r="X235" s="360" t="str">
        <f>IF(U235=0,"",COUNTIF(X$27:X234,"&gt;0")+1)</f>
        <v/>
      </c>
      <c r="Y235" s="355"/>
      <c r="Z235" s="359">
        <f t="shared" ref="Z235:Z247" si="53">IF(AD235&lt;&gt;"YES",H235*1.5+I235+AA235,"")</f>
        <v>5.0010000000000003</v>
      </c>
      <c r="AA235" s="355">
        <v>1E-3</v>
      </c>
      <c r="AB235" s="355">
        <f>IFERROR(RANK(Z235,Z$235:Z$247,1),"")</f>
        <v>6</v>
      </c>
      <c r="AC235" s="355">
        <f>IF(AD235="YES",0,AD$233)+IF(AD$232&gt;=AB235,1,0)</f>
        <v>0</v>
      </c>
      <c r="AD235" s="355" t="str">
        <f t="shared" ref="AD235:AD236" si="54">IF(M235="N","YES","")</f>
        <v/>
      </c>
      <c r="AE235" s="355"/>
      <c r="AF235" s="355"/>
      <c r="AG235" s="355"/>
      <c r="AH235" s="355"/>
      <c r="AI235" s="355"/>
      <c r="AJ235" s="219"/>
      <c r="AK235" s="219"/>
      <c r="AL235" s="219"/>
      <c r="AM235" s="399"/>
      <c r="AN235" s="399"/>
      <c r="AO235" s="399"/>
      <c r="AP235" s="399"/>
    </row>
    <row r="236" spans="1:42" ht="15" hidden="1" customHeight="1" x14ac:dyDescent="0.25">
      <c r="A236" s="336"/>
      <c r="B236" s="48" t="s">
        <v>168</v>
      </c>
      <c r="C236" s="78" t="s">
        <v>531</v>
      </c>
      <c r="D236" s="79"/>
      <c r="E236" s="80" t="s">
        <v>214</v>
      </c>
      <c r="F236" s="180" t="s">
        <v>400</v>
      </c>
      <c r="G236" s="176">
        <v>8718226850515</v>
      </c>
      <c r="H236" s="19">
        <v>3</v>
      </c>
      <c r="I236" s="13">
        <v>1</v>
      </c>
      <c r="J236" s="15" t="s">
        <v>215</v>
      </c>
      <c r="K236" s="5" t="s">
        <v>526</v>
      </c>
      <c r="L236" s="200"/>
      <c r="M236" s="356" t="s">
        <v>30</v>
      </c>
      <c r="N236" s="355" t="s">
        <v>892</v>
      </c>
      <c r="O236" s="355"/>
      <c r="P236" s="355">
        <v>0.14199999999999999</v>
      </c>
      <c r="Q236" s="355"/>
      <c r="R236" s="355">
        <v>35</v>
      </c>
      <c r="S236" s="355" t="s">
        <v>585</v>
      </c>
      <c r="T236" s="355" t="s">
        <v>612</v>
      </c>
      <c r="U236" s="355">
        <f t="shared" ref="U236:U247" si="55">A236+AC236</f>
        <v>0</v>
      </c>
      <c r="V236" s="355"/>
      <c r="W236" s="360" t="str">
        <f>IF(U236=0,"",COUNTIF(W$27:W235,"&gt;0")+1)</f>
        <v/>
      </c>
      <c r="X236" s="360" t="str">
        <f>IF(U236=0,"",COUNTIF(X$27:X235,"&gt;0")+1)</f>
        <v/>
      </c>
      <c r="Y236" s="355"/>
      <c r="Z236" s="359" t="str">
        <f t="shared" si="53"/>
        <v/>
      </c>
      <c r="AA236" s="355">
        <v>2E-3</v>
      </c>
      <c r="AB236" s="355" t="str">
        <f t="shared" ref="AB236:AB247" si="56">IFERROR(RANK(Z236,Z$235:Z$247,1),"")</f>
        <v/>
      </c>
      <c r="AC236" s="355">
        <f t="shared" ref="AC236:AC247" si="57">IF(AD236="YES",0,AD$233)+IF(AD$232&gt;=AB236,1,0)</f>
        <v>0</v>
      </c>
      <c r="AD236" s="355" t="str">
        <f t="shared" si="54"/>
        <v>YES</v>
      </c>
      <c r="AE236" s="355"/>
      <c r="AF236" s="355"/>
      <c r="AG236" s="355"/>
      <c r="AH236" s="355"/>
      <c r="AI236" s="355"/>
      <c r="AJ236" s="219"/>
      <c r="AK236" s="219"/>
      <c r="AL236" s="219"/>
      <c r="AM236" s="399"/>
      <c r="AN236" s="399"/>
      <c r="AO236" s="399"/>
      <c r="AP236" s="399"/>
    </row>
    <row r="237" spans="1:42" ht="15" hidden="1" customHeight="1" x14ac:dyDescent="0.25">
      <c r="A237" s="330"/>
      <c r="B237" s="48" t="s">
        <v>168</v>
      </c>
      <c r="C237" s="89" t="s">
        <v>216</v>
      </c>
      <c r="D237" s="93"/>
      <c r="E237" s="80" t="s">
        <v>217</v>
      </c>
      <c r="F237" s="180" t="s">
        <v>400</v>
      </c>
      <c r="G237" s="176">
        <v>8712044890234</v>
      </c>
      <c r="H237" s="13">
        <v>1</v>
      </c>
      <c r="I237" s="13">
        <v>1</v>
      </c>
      <c r="J237" s="15" t="s">
        <v>218</v>
      </c>
      <c r="K237" s="5" t="s">
        <v>526</v>
      </c>
      <c r="L237" s="200" t="s">
        <v>23</v>
      </c>
      <c r="M237" s="356" t="s">
        <v>30</v>
      </c>
      <c r="N237" s="355" t="s">
        <v>893</v>
      </c>
      <c r="O237" s="355"/>
      <c r="P237" s="355">
        <v>0.14199999999999999</v>
      </c>
      <c r="Q237" s="355"/>
      <c r="R237" s="355">
        <v>35</v>
      </c>
      <c r="S237" s="355" t="s">
        <v>585</v>
      </c>
      <c r="T237" s="355" t="s">
        <v>612</v>
      </c>
      <c r="U237" s="355">
        <f t="shared" si="55"/>
        <v>0</v>
      </c>
      <c r="V237" s="355"/>
      <c r="W237" s="360" t="str">
        <f>IF(U237=0,"",COUNTIF(W$27:W236,"&gt;0")+1)</f>
        <v/>
      </c>
      <c r="X237" s="360" t="str">
        <f>IF(U237=0,"",COUNTIF(X$27:X236,"&gt;0")+1)</f>
        <v/>
      </c>
      <c r="Y237" s="355"/>
      <c r="Z237" s="359" t="str">
        <f t="shared" si="53"/>
        <v/>
      </c>
      <c r="AA237" s="355">
        <v>3.0000000000000001E-3</v>
      </c>
      <c r="AB237" s="355" t="str">
        <f t="shared" si="56"/>
        <v/>
      </c>
      <c r="AC237" s="355">
        <f t="shared" si="57"/>
        <v>0</v>
      </c>
      <c r="AD237" s="355" t="str">
        <f>IF(M237="N","YES","")</f>
        <v>YES</v>
      </c>
      <c r="AE237" s="355"/>
      <c r="AF237" s="355"/>
      <c r="AG237" s="355"/>
      <c r="AH237" s="355"/>
      <c r="AI237" s="355"/>
      <c r="AJ237" s="219"/>
      <c r="AK237" s="219"/>
      <c r="AL237" s="219"/>
      <c r="AM237" s="399"/>
      <c r="AN237" s="399"/>
      <c r="AO237" s="399"/>
      <c r="AP237" s="399"/>
    </row>
    <row r="238" spans="1:42" ht="15" hidden="1" customHeight="1" x14ac:dyDescent="0.25">
      <c r="A238" s="330"/>
      <c r="B238" s="48" t="s">
        <v>168</v>
      </c>
      <c r="C238" s="89" t="s">
        <v>219</v>
      </c>
      <c r="D238" s="93"/>
      <c r="E238" s="80" t="s">
        <v>220</v>
      </c>
      <c r="F238" s="180" t="s">
        <v>400</v>
      </c>
      <c r="G238" s="176">
        <v>8712044890241</v>
      </c>
      <c r="H238" s="13">
        <v>1</v>
      </c>
      <c r="I238" s="13">
        <v>1</v>
      </c>
      <c r="J238" s="15" t="s">
        <v>221</v>
      </c>
      <c r="K238" s="5" t="s">
        <v>526</v>
      </c>
      <c r="L238" s="200" t="s">
        <v>23</v>
      </c>
      <c r="M238" s="356" t="s">
        <v>30</v>
      </c>
      <c r="N238" s="355" t="s">
        <v>894</v>
      </c>
      <c r="O238" s="355"/>
      <c r="P238" s="355">
        <v>0.14199999999999999</v>
      </c>
      <c r="Q238" s="355"/>
      <c r="R238" s="355">
        <v>35</v>
      </c>
      <c r="S238" s="355" t="s">
        <v>585</v>
      </c>
      <c r="T238" s="355" t="s">
        <v>612</v>
      </c>
      <c r="U238" s="355">
        <f t="shared" si="55"/>
        <v>0</v>
      </c>
      <c r="V238" s="355"/>
      <c r="W238" s="360" t="str">
        <f>IF(U238=0,"",COUNTIF(W$27:W237,"&gt;0")+1)</f>
        <v/>
      </c>
      <c r="X238" s="360" t="str">
        <f>IF(U238=0,"",COUNTIF(X$27:X237,"&gt;0")+1)</f>
        <v/>
      </c>
      <c r="Y238" s="355"/>
      <c r="Z238" s="359" t="str">
        <f t="shared" si="53"/>
        <v/>
      </c>
      <c r="AA238" s="355">
        <v>4.0000000000000001E-3</v>
      </c>
      <c r="AB238" s="355" t="str">
        <f t="shared" si="56"/>
        <v/>
      </c>
      <c r="AC238" s="355">
        <f t="shared" si="57"/>
        <v>0</v>
      </c>
      <c r="AD238" s="355" t="str">
        <f t="shared" ref="AD238:AD247" si="58">IF(M238="N","YES","")</f>
        <v>YES</v>
      </c>
      <c r="AE238" s="355"/>
      <c r="AF238" s="355"/>
      <c r="AG238" s="355"/>
      <c r="AH238" s="355"/>
      <c r="AI238" s="355"/>
      <c r="AJ238" s="219"/>
      <c r="AK238" s="219"/>
      <c r="AL238" s="219"/>
      <c r="AM238" s="399"/>
      <c r="AN238" s="399"/>
      <c r="AO238" s="399"/>
      <c r="AP238" s="399"/>
    </row>
    <row r="239" spans="1:42" ht="15" customHeight="1" x14ac:dyDescent="0.25">
      <c r="A239" s="330"/>
      <c r="B239" s="48" t="s">
        <v>168</v>
      </c>
      <c r="C239" s="89" t="s">
        <v>544</v>
      </c>
      <c r="D239" s="93"/>
      <c r="E239" s="80" t="s">
        <v>223</v>
      </c>
      <c r="F239" s="180" t="s">
        <v>400</v>
      </c>
      <c r="G239" s="176">
        <v>8712815789750</v>
      </c>
      <c r="H239" s="18">
        <v>2</v>
      </c>
      <c r="I239" s="13">
        <v>1</v>
      </c>
      <c r="J239" s="15" t="s">
        <v>224</v>
      </c>
      <c r="K239" s="5" t="s">
        <v>526</v>
      </c>
      <c r="L239" s="200"/>
      <c r="M239" s="357" t="s">
        <v>19</v>
      </c>
      <c r="N239" s="355" t="s">
        <v>895</v>
      </c>
      <c r="O239" s="355">
        <v>132</v>
      </c>
      <c r="P239" s="355">
        <v>0.14199999999999999</v>
      </c>
      <c r="Q239" s="355"/>
      <c r="R239" s="355">
        <v>35</v>
      </c>
      <c r="S239" s="355" t="s">
        <v>585</v>
      </c>
      <c r="T239" s="355" t="s">
        <v>612</v>
      </c>
      <c r="U239" s="355">
        <f t="shared" si="55"/>
        <v>0</v>
      </c>
      <c r="V239" s="355"/>
      <c r="W239" s="360" t="str">
        <f>IF(U239=0,"",COUNTIF(W$27:W238,"&gt;0")+1)</f>
        <v/>
      </c>
      <c r="X239" s="360" t="str">
        <f>IF(U239=0,"",COUNTIF(X$27:X238,"&gt;0")+1)</f>
        <v/>
      </c>
      <c r="Y239" s="355"/>
      <c r="Z239" s="359">
        <f t="shared" si="53"/>
        <v>4.0049999999999999</v>
      </c>
      <c r="AA239" s="355">
        <v>5.0000000000000001E-3</v>
      </c>
      <c r="AB239" s="355">
        <f t="shared" si="56"/>
        <v>3</v>
      </c>
      <c r="AC239" s="355">
        <f t="shared" si="57"/>
        <v>0</v>
      </c>
      <c r="AD239" s="355" t="str">
        <f t="shared" si="58"/>
        <v/>
      </c>
      <c r="AE239" s="355"/>
      <c r="AF239" s="355"/>
      <c r="AG239" s="355"/>
      <c r="AH239" s="355"/>
      <c r="AI239" s="355"/>
      <c r="AJ239" s="219"/>
      <c r="AK239" s="219"/>
      <c r="AL239" s="219"/>
      <c r="AM239" s="399"/>
      <c r="AN239" s="399"/>
      <c r="AO239" s="399"/>
      <c r="AP239" s="399"/>
    </row>
    <row r="240" spans="1:42" ht="15" customHeight="1" x14ac:dyDescent="0.25">
      <c r="A240" s="330"/>
      <c r="B240" s="48" t="s">
        <v>168</v>
      </c>
      <c r="C240" s="89" t="s">
        <v>225</v>
      </c>
      <c r="D240" s="93"/>
      <c r="E240" s="80" t="s">
        <v>226</v>
      </c>
      <c r="F240" s="180" t="s">
        <v>400</v>
      </c>
      <c r="G240" s="176">
        <v>8712044890258</v>
      </c>
      <c r="H240" s="18">
        <v>2</v>
      </c>
      <c r="I240" s="13">
        <v>1</v>
      </c>
      <c r="J240" s="15" t="s">
        <v>227</v>
      </c>
      <c r="K240" s="5" t="s">
        <v>526</v>
      </c>
      <c r="L240" s="200" t="s">
        <v>23</v>
      </c>
      <c r="M240" s="357" t="s">
        <v>19</v>
      </c>
      <c r="N240" s="355" t="s">
        <v>896</v>
      </c>
      <c r="O240" s="355">
        <v>137</v>
      </c>
      <c r="P240" s="355">
        <v>0.14199999999999999</v>
      </c>
      <c r="Q240" s="355"/>
      <c r="R240" s="355">
        <v>35</v>
      </c>
      <c r="S240" s="355" t="s">
        <v>585</v>
      </c>
      <c r="T240" s="355" t="s">
        <v>612</v>
      </c>
      <c r="U240" s="355">
        <f t="shared" si="55"/>
        <v>0</v>
      </c>
      <c r="V240" s="355"/>
      <c r="W240" s="360" t="str">
        <f>IF(U240=0,"",COUNTIF(W$27:W239,"&gt;0")+1)</f>
        <v/>
      </c>
      <c r="X240" s="360" t="str">
        <f>IF(U240=0,"",COUNTIF(X$27:X239,"&gt;0")+1)</f>
        <v/>
      </c>
      <c r="Y240" s="355"/>
      <c r="Z240" s="359">
        <f t="shared" si="53"/>
        <v>4.0060000000000002</v>
      </c>
      <c r="AA240" s="355">
        <v>6.0000000000000001E-3</v>
      </c>
      <c r="AB240" s="355">
        <f t="shared" si="56"/>
        <v>4</v>
      </c>
      <c r="AC240" s="355">
        <f t="shared" si="57"/>
        <v>0</v>
      </c>
      <c r="AD240" s="355" t="str">
        <f t="shared" si="58"/>
        <v/>
      </c>
      <c r="AE240" s="355"/>
      <c r="AF240" s="355"/>
      <c r="AG240" s="355"/>
      <c r="AH240" s="355"/>
      <c r="AI240" s="355"/>
      <c r="AJ240" s="219"/>
      <c r="AK240" s="219"/>
      <c r="AL240" s="219"/>
      <c r="AM240" s="399"/>
      <c r="AN240" s="399"/>
      <c r="AO240" s="399"/>
      <c r="AP240" s="399"/>
    </row>
    <row r="241" spans="1:42" ht="15" customHeight="1" x14ac:dyDescent="0.25">
      <c r="A241" s="330"/>
      <c r="B241" s="48" t="s">
        <v>168</v>
      </c>
      <c r="C241" s="89" t="s">
        <v>228</v>
      </c>
      <c r="D241" s="93"/>
      <c r="E241" s="80" t="s">
        <v>229</v>
      </c>
      <c r="F241" s="180" t="s">
        <v>400</v>
      </c>
      <c r="G241" s="176">
        <v>8718226850522</v>
      </c>
      <c r="H241" s="19">
        <v>3</v>
      </c>
      <c r="I241" s="13">
        <v>1</v>
      </c>
      <c r="J241" s="15" t="s">
        <v>230</v>
      </c>
      <c r="K241" s="5" t="s">
        <v>526</v>
      </c>
      <c r="L241" s="200"/>
      <c r="M241" s="357" t="s">
        <v>19</v>
      </c>
      <c r="N241" s="355" t="s">
        <v>897</v>
      </c>
      <c r="O241" s="355">
        <v>138</v>
      </c>
      <c r="P241" s="355">
        <v>0.14199999999999999</v>
      </c>
      <c r="Q241" s="355"/>
      <c r="R241" s="355">
        <v>35</v>
      </c>
      <c r="S241" s="355" t="s">
        <v>585</v>
      </c>
      <c r="T241" s="355" t="s">
        <v>612</v>
      </c>
      <c r="U241" s="355">
        <f t="shared" si="55"/>
        <v>0</v>
      </c>
      <c r="V241" s="355"/>
      <c r="W241" s="360" t="str">
        <f>IF(U241=0,"",COUNTIF(W$27:W240,"&gt;0")+1)</f>
        <v/>
      </c>
      <c r="X241" s="360" t="str">
        <f>IF(U241=0,"",COUNTIF(X$27:X240,"&gt;0")+1)</f>
        <v/>
      </c>
      <c r="Y241" s="355"/>
      <c r="Z241" s="359">
        <f t="shared" si="53"/>
        <v>5.5069999999999997</v>
      </c>
      <c r="AA241" s="355">
        <v>7.0000000000000001E-3</v>
      </c>
      <c r="AB241" s="355">
        <f t="shared" si="56"/>
        <v>8</v>
      </c>
      <c r="AC241" s="355">
        <f t="shared" si="57"/>
        <v>0</v>
      </c>
      <c r="AD241" s="355" t="str">
        <f t="shared" si="58"/>
        <v/>
      </c>
      <c r="AE241" s="355"/>
      <c r="AF241" s="355"/>
      <c r="AG241" s="355"/>
      <c r="AH241" s="355"/>
      <c r="AI241" s="355"/>
      <c r="AJ241" s="219"/>
      <c r="AK241" s="219"/>
      <c r="AL241" s="219"/>
      <c r="AM241" s="399"/>
      <c r="AN241" s="399"/>
      <c r="AO241" s="399"/>
      <c r="AP241" s="399"/>
    </row>
    <row r="242" spans="1:42" ht="15" customHeight="1" x14ac:dyDescent="0.25">
      <c r="A242" s="330"/>
      <c r="B242" s="48" t="s">
        <v>168</v>
      </c>
      <c r="C242" s="89" t="s">
        <v>545</v>
      </c>
      <c r="D242" s="169"/>
      <c r="E242" s="80" t="s">
        <v>239</v>
      </c>
      <c r="F242" s="180" t="s">
        <v>400</v>
      </c>
      <c r="G242" s="177">
        <v>8719743711501</v>
      </c>
      <c r="H242" s="13">
        <v>1</v>
      </c>
      <c r="I242" s="18">
        <v>2</v>
      </c>
      <c r="J242" s="15" t="s">
        <v>232</v>
      </c>
      <c r="K242" s="5" t="s">
        <v>526</v>
      </c>
      <c r="L242" s="200"/>
      <c r="M242" s="357" t="s">
        <v>19</v>
      </c>
      <c r="N242" s="355" t="s">
        <v>898</v>
      </c>
      <c r="O242" s="355">
        <v>139</v>
      </c>
      <c r="P242" s="355">
        <v>0.14199999999999999</v>
      </c>
      <c r="Q242" s="355"/>
      <c r="R242" s="355">
        <v>35</v>
      </c>
      <c r="S242" s="355" t="s">
        <v>585</v>
      </c>
      <c r="T242" s="355" t="s">
        <v>612</v>
      </c>
      <c r="U242" s="355">
        <f t="shared" si="55"/>
        <v>0</v>
      </c>
      <c r="V242" s="355"/>
      <c r="W242" s="360" t="str">
        <f>IF(U242=0,"",COUNTIF(W$27:W241,"&gt;0")+1)</f>
        <v/>
      </c>
      <c r="X242" s="360" t="str">
        <f>IF(U242=0,"",COUNTIF(X$27:X241,"&gt;0")+1)</f>
        <v/>
      </c>
      <c r="Y242" s="355"/>
      <c r="Z242" s="359">
        <f t="shared" si="53"/>
        <v>3.508</v>
      </c>
      <c r="AA242" s="355">
        <v>8.0000000000000002E-3</v>
      </c>
      <c r="AB242" s="355">
        <f t="shared" si="56"/>
        <v>2</v>
      </c>
      <c r="AC242" s="355">
        <f t="shared" si="57"/>
        <v>0</v>
      </c>
      <c r="AD242" s="355" t="str">
        <f t="shared" si="58"/>
        <v/>
      </c>
      <c r="AE242" s="355"/>
      <c r="AF242" s="355"/>
      <c r="AG242" s="355"/>
      <c r="AH242" s="355"/>
      <c r="AI242" s="355"/>
      <c r="AJ242" s="219"/>
      <c r="AK242" s="219"/>
      <c r="AL242" s="219"/>
      <c r="AM242" s="399"/>
      <c r="AN242" s="399"/>
      <c r="AO242" s="399"/>
      <c r="AP242" s="399"/>
    </row>
    <row r="243" spans="1:42" ht="15" customHeight="1" x14ac:dyDescent="0.25">
      <c r="A243" s="330"/>
      <c r="B243" s="48" t="s">
        <v>168</v>
      </c>
      <c r="C243" s="89" t="s">
        <v>546</v>
      </c>
      <c r="D243" s="93"/>
      <c r="E243" s="80" t="s">
        <v>234</v>
      </c>
      <c r="F243" s="180" t="s">
        <v>400</v>
      </c>
      <c r="G243" s="176">
        <v>8712815756417</v>
      </c>
      <c r="H243" s="13">
        <v>1</v>
      </c>
      <c r="I243" s="19">
        <v>3</v>
      </c>
      <c r="J243" s="15" t="s">
        <v>235</v>
      </c>
      <c r="K243" s="5" t="s">
        <v>526</v>
      </c>
      <c r="L243" s="200"/>
      <c r="M243" s="357" t="s">
        <v>19</v>
      </c>
      <c r="N243" s="355" t="s">
        <v>899</v>
      </c>
      <c r="O243" s="355">
        <v>140</v>
      </c>
      <c r="P243" s="355">
        <v>0.14199999999999999</v>
      </c>
      <c r="Q243" s="355"/>
      <c r="R243" s="355">
        <v>35</v>
      </c>
      <c r="S243" s="355" t="s">
        <v>585</v>
      </c>
      <c r="T243" s="355" t="s">
        <v>612</v>
      </c>
      <c r="U243" s="355">
        <f t="shared" si="55"/>
        <v>0</v>
      </c>
      <c r="V243" s="355"/>
      <c r="W243" s="360" t="str">
        <f>IF(U243=0,"",COUNTIF(W$27:W242,"&gt;0")+1)</f>
        <v/>
      </c>
      <c r="X243" s="360" t="str">
        <f>IF(U243=0,"",COUNTIF(X$27:X242,"&gt;0")+1)</f>
        <v/>
      </c>
      <c r="Y243" s="355"/>
      <c r="Z243" s="359">
        <f t="shared" si="53"/>
        <v>4.5090000000000003</v>
      </c>
      <c r="AA243" s="355">
        <v>8.9999999999999993E-3</v>
      </c>
      <c r="AB243" s="355">
        <f t="shared" si="56"/>
        <v>5</v>
      </c>
      <c r="AC243" s="355">
        <f t="shared" si="57"/>
        <v>0</v>
      </c>
      <c r="AD243" s="355" t="str">
        <f t="shared" si="58"/>
        <v/>
      </c>
      <c r="AE243" s="355"/>
      <c r="AF243" s="355"/>
      <c r="AG243" s="355"/>
      <c r="AH243" s="355"/>
      <c r="AI243" s="355"/>
      <c r="AJ243" s="219"/>
      <c r="AK243" s="219"/>
      <c r="AL243" s="219"/>
      <c r="AM243" s="399"/>
      <c r="AN243" s="399"/>
      <c r="AO243" s="399"/>
      <c r="AP243" s="399"/>
    </row>
    <row r="244" spans="1:42" ht="15" hidden="1" customHeight="1" x14ac:dyDescent="0.25">
      <c r="A244" s="330"/>
      <c r="B244" s="48" t="s">
        <v>168</v>
      </c>
      <c r="C244" s="156" t="s">
        <v>256</v>
      </c>
      <c r="D244" s="93"/>
      <c r="E244" s="80" t="s">
        <v>418</v>
      </c>
      <c r="F244" s="180" t="s">
        <v>400</v>
      </c>
      <c r="G244" s="176">
        <v>8712044890272</v>
      </c>
      <c r="H244" s="13">
        <v>1</v>
      </c>
      <c r="I244" s="13">
        <v>1</v>
      </c>
      <c r="J244" s="15" t="s">
        <v>420</v>
      </c>
      <c r="K244" s="5" t="s">
        <v>532</v>
      </c>
      <c r="L244" s="200"/>
      <c r="M244" s="356" t="s">
        <v>30</v>
      </c>
      <c r="N244" s="355" t="s">
        <v>900</v>
      </c>
      <c r="O244" s="355"/>
      <c r="P244" s="355">
        <v>0.14199999999999999</v>
      </c>
      <c r="Q244" s="355"/>
      <c r="R244" s="355">
        <v>35</v>
      </c>
      <c r="S244" s="355" t="s">
        <v>585</v>
      </c>
      <c r="T244" s="355" t="s">
        <v>612</v>
      </c>
      <c r="U244" s="355">
        <f t="shared" si="55"/>
        <v>0</v>
      </c>
      <c r="V244" s="355"/>
      <c r="W244" s="360" t="str">
        <f>IF(U244=0,"",COUNTIF(W$27:W243,"&gt;0")+1)</f>
        <v/>
      </c>
      <c r="X244" s="360" t="str">
        <f>IF(U244=0,"",COUNTIF(X$27:X243,"&gt;0")+1)</f>
        <v/>
      </c>
      <c r="Y244" s="355"/>
      <c r="Z244" s="359" t="str">
        <f t="shared" si="53"/>
        <v/>
      </c>
      <c r="AA244" s="355">
        <v>0.01</v>
      </c>
      <c r="AB244" s="355" t="str">
        <f t="shared" si="56"/>
        <v/>
      </c>
      <c r="AC244" s="355">
        <f t="shared" si="57"/>
        <v>0</v>
      </c>
      <c r="AD244" s="355" t="str">
        <f t="shared" si="58"/>
        <v>YES</v>
      </c>
      <c r="AE244" s="355"/>
      <c r="AF244" s="355"/>
      <c r="AG244" s="355"/>
      <c r="AH244" s="355"/>
      <c r="AI244" s="355"/>
      <c r="AJ244" s="219"/>
      <c r="AK244" s="219"/>
      <c r="AL244" s="219"/>
      <c r="AM244" s="399"/>
      <c r="AN244" s="399"/>
      <c r="AO244" s="399"/>
      <c r="AP244" s="399"/>
    </row>
    <row r="245" spans="1:42" ht="15" customHeight="1" x14ac:dyDescent="0.25">
      <c r="A245" s="330"/>
      <c r="B245" s="48" t="s">
        <v>168</v>
      </c>
      <c r="C245" s="156" t="s">
        <v>416</v>
      </c>
      <c r="D245" s="93"/>
      <c r="E245" s="80" t="s">
        <v>419</v>
      </c>
      <c r="F245" s="180" t="s">
        <v>400</v>
      </c>
      <c r="G245" s="176">
        <v>8718226850539</v>
      </c>
      <c r="H245" s="18">
        <v>2</v>
      </c>
      <c r="I245" s="18">
        <v>2</v>
      </c>
      <c r="J245" s="15" t="s">
        <v>421</v>
      </c>
      <c r="K245" s="5" t="s">
        <v>526</v>
      </c>
      <c r="L245" s="200"/>
      <c r="M245" s="357" t="s">
        <v>19</v>
      </c>
      <c r="N245" s="355" t="s">
        <v>901</v>
      </c>
      <c r="O245" s="355">
        <v>129</v>
      </c>
      <c r="P245" s="355">
        <v>0.14199999999999999</v>
      </c>
      <c r="Q245" s="355"/>
      <c r="R245" s="355">
        <v>35</v>
      </c>
      <c r="S245" s="355" t="s">
        <v>585</v>
      </c>
      <c r="T245" s="355" t="s">
        <v>612</v>
      </c>
      <c r="U245" s="355">
        <f t="shared" si="55"/>
        <v>0</v>
      </c>
      <c r="V245" s="355"/>
      <c r="W245" s="360" t="str">
        <f>IF(U245=0,"",COUNTIF(W$27:W244,"&gt;0")+1)</f>
        <v/>
      </c>
      <c r="X245" s="360" t="str">
        <f>IF(U245=0,"",COUNTIF(X$27:X244,"&gt;0")+1)</f>
        <v/>
      </c>
      <c r="Y245" s="355"/>
      <c r="Z245" s="359">
        <f t="shared" si="53"/>
        <v>5.0110000000000001</v>
      </c>
      <c r="AA245" s="355">
        <v>1.0999999999999999E-2</v>
      </c>
      <c r="AB245" s="355">
        <f t="shared" si="56"/>
        <v>7</v>
      </c>
      <c r="AC245" s="355">
        <f t="shared" si="57"/>
        <v>0</v>
      </c>
      <c r="AD245" s="355" t="str">
        <f t="shared" si="58"/>
        <v/>
      </c>
      <c r="AE245" s="355"/>
      <c r="AF245" s="355"/>
      <c r="AG245" s="355"/>
      <c r="AH245" s="355"/>
      <c r="AI245" s="355"/>
      <c r="AJ245" s="219"/>
      <c r="AK245" s="219"/>
      <c r="AL245" s="219"/>
      <c r="AM245" s="399"/>
      <c r="AN245" s="399"/>
      <c r="AO245" s="399"/>
      <c r="AP245" s="399"/>
    </row>
    <row r="246" spans="1:42" ht="15" hidden="1" customHeight="1" x14ac:dyDescent="0.25">
      <c r="A246" s="330"/>
      <c r="B246" s="48" t="s">
        <v>168</v>
      </c>
      <c r="C246" s="156" t="s">
        <v>417</v>
      </c>
      <c r="D246" s="93"/>
      <c r="E246" s="80" t="s">
        <v>419</v>
      </c>
      <c r="F246" s="180" t="s">
        <v>400</v>
      </c>
      <c r="G246" s="176">
        <v>8719743710658</v>
      </c>
      <c r="H246" s="18">
        <v>2</v>
      </c>
      <c r="I246" s="18">
        <v>2</v>
      </c>
      <c r="J246" s="15" t="s">
        <v>422</v>
      </c>
      <c r="K246" s="5" t="s">
        <v>526</v>
      </c>
      <c r="L246" s="200"/>
      <c r="M246" s="356" t="s">
        <v>30</v>
      </c>
      <c r="N246" s="355" t="s">
        <v>902</v>
      </c>
      <c r="O246" s="355"/>
      <c r="P246" s="355">
        <v>0.14199999999999999</v>
      </c>
      <c r="Q246" s="355"/>
      <c r="R246" s="355">
        <v>35</v>
      </c>
      <c r="S246" s="355" t="s">
        <v>585</v>
      </c>
      <c r="T246" s="355" t="s">
        <v>612</v>
      </c>
      <c r="U246" s="355">
        <f t="shared" si="55"/>
        <v>0</v>
      </c>
      <c r="V246" s="355"/>
      <c r="W246" s="360" t="str">
        <f>IF(U246=0,"",COUNTIF(W$27:W245,"&gt;0")+1)</f>
        <v/>
      </c>
      <c r="X246" s="360" t="str">
        <f>IF(U246=0,"",COUNTIF(X$27:X245,"&gt;0")+1)</f>
        <v/>
      </c>
      <c r="Y246" s="355"/>
      <c r="Z246" s="359" t="str">
        <f t="shared" si="53"/>
        <v/>
      </c>
      <c r="AA246" s="355">
        <v>1.2E-2</v>
      </c>
      <c r="AB246" s="355" t="str">
        <f t="shared" si="56"/>
        <v/>
      </c>
      <c r="AC246" s="355">
        <f t="shared" si="57"/>
        <v>0</v>
      </c>
      <c r="AD246" s="355" t="str">
        <f t="shared" si="58"/>
        <v>YES</v>
      </c>
      <c r="AE246" s="355"/>
      <c r="AF246" s="355"/>
      <c r="AG246" s="355"/>
      <c r="AH246" s="355"/>
      <c r="AI246" s="355"/>
      <c r="AJ246" s="219"/>
      <c r="AK246" s="219"/>
      <c r="AL246" s="219"/>
      <c r="AM246" s="399"/>
      <c r="AN246" s="399"/>
      <c r="AO246" s="399"/>
      <c r="AP246" s="399"/>
    </row>
    <row r="247" spans="1:42" x14ac:dyDescent="0.25">
      <c r="A247" s="330"/>
      <c r="B247" s="48" t="s">
        <v>168</v>
      </c>
      <c r="C247" s="89" t="s">
        <v>236</v>
      </c>
      <c r="D247" s="93"/>
      <c r="E247" s="80" t="s">
        <v>237</v>
      </c>
      <c r="F247" s="180" t="s">
        <v>400</v>
      </c>
      <c r="G247" s="176">
        <v>8712815756431</v>
      </c>
      <c r="H247" s="13">
        <v>1</v>
      </c>
      <c r="I247" s="13">
        <v>1</v>
      </c>
      <c r="J247" s="15" t="s">
        <v>238</v>
      </c>
      <c r="K247" s="5" t="s">
        <v>526</v>
      </c>
      <c r="L247" s="200"/>
      <c r="M247" s="357" t="s">
        <v>19</v>
      </c>
      <c r="N247" s="355" t="s">
        <v>903</v>
      </c>
      <c r="O247" s="355">
        <v>130</v>
      </c>
      <c r="P247" s="355">
        <v>0.14199999999999999</v>
      </c>
      <c r="Q247" s="355"/>
      <c r="R247" s="355">
        <v>35</v>
      </c>
      <c r="S247" s="355" t="s">
        <v>585</v>
      </c>
      <c r="T247" s="355" t="s">
        <v>612</v>
      </c>
      <c r="U247" s="355">
        <f t="shared" si="55"/>
        <v>0</v>
      </c>
      <c r="V247" s="355"/>
      <c r="W247" s="360" t="str">
        <f>IF(U247=0,"",COUNTIF(W$27:W246,"&gt;0")+1)</f>
        <v/>
      </c>
      <c r="X247" s="360" t="str">
        <f>IF(U247=0,"",COUNTIF(X$27:X246,"&gt;0")+1)</f>
        <v/>
      </c>
      <c r="Y247" s="355"/>
      <c r="Z247" s="359">
        <f t="shared" si="53"/>
        <v>2.5129999999999999</v>
      </c>
      <c r="AA247" s="355">
        <v>1.2999999999999999E-2</v>
      </c>
      <c r="AB247" s="355">
        <f t="shared" si="56"/>
        <v>1</v>
      </c>
      <c r="AC247" s="355">
        <f t="shared" si="57"/>
        <v>0</v>
      </c>
      <c r="AD247" s="355" t="str">
        <f t="shared" si="58"/>
        <v/>
      </c>
      <c r="AE247" s="355"/>
      <c r="AF247" s="355"/>
      <c r="AG247" s="355"/>
      <c r="AH247" s="355"/>
      <c r="AI247" s="355"/>
      <c r="AJ247" s="219"/>
      <c r="AK247" s="219"/>
      <c r="AL247" s="219"/>
      <c r="AM247" s="399"/>
      <c r="AN247" s="399"/>
      <c r="AO247" s="399"/>
      <c r="AP247" s="399"/>
    </row>
    <row r="248" spans="1:42" x14ac:dyDescent="0.25">
      <c r="A248" s="59">
        <f>SUM(A234:A247)</f>
        <v>0</v>
      </c>
      <c r="B248" s="48" t="s">
        <v>168</v>
      </c>
      <c r="C248" s="28" t="s">
        <v>164</v>
      </c>
      <c r="D248" s="28"/>
      <c r="E248" s="35"/>
      <c r="F248" s="192"/>
      <c r="G248" s="35"/>
      <c r="H248" s="3"/>
      <c r="I248" s="6"/>
      <c r="J248" s="6"/>
      <c r="K248" s="7"/>
      <c r="L248" s="25"/>
      <c r="M248" s="357"/>
      <c r="N248" s="357"/>
      <c r="O248" s="355"/>
      <c r="P248" s="355"/>
      <c r="Q248" s="355"/>
      <c r="R248" s="355"/>
      <c r="S248" s="355" t="s">
        <v>585</v>
      </c>
      <c r="T248" s="355"/>
      <c r="U248" s="355">
        <f t="shared" si="52"/>
        <v>0</v>
      </c>
      <c r="V248" s="355"/>
      <c r="W248" s="360" t="str">
        <f>IF(U248=0,"",COUNTIF(W$27:W247,"&gt;0")+1)</f>
        <v/>
      </c>
      <c r="X248" s="355"/>
      <c r="Y248" s="355"/>
      <c r="Z248" s="355"/>
      <c r="AA248" s="355"/>
      <c r="AB248" s="355"/>
      <c r="AC248" s="355"/>
      <c r="AD248" s="355"/>
      <c r="AE248" s="355"/>
      <c r="AF248" s="355"/>
      <c r="AG248" s="355"/>
      <c r="AH248" s="355"/>
      <c r="AI248" s="355"/>
      <c r="AJ248" s="219"/>
      <c r="AK248" s="219"/>
      <c r="AL248" s="219"/>
      <c r="AM248" s="399"/>
      <c r="AN248" s="399"/>
      <c r="AO248" s="399"/>
      <c r="AP248" s="399"/>
    </row>
    <row r="249" spans="1:42" ht="15" customHeight="1" x14ac:dyDescent="0.25">
      <c r="A249" s="60"/>
      <c r="E249" s="36"/>
      <c r="F249" s="36"/>
      <c r="G249" s="36"/>
      <c r="L249" s="25"/>
      <c r="M249" s="357"/>
      <c r="N249" s="357"/>
      <c r="O249" s="355"/>
      <c r="P249" s="355"/>
      <c r="Q249" s="355"/>
      <c r="R249" s="355"/>
      <c r="S249" s="355"/>
      <c r="T249" s="355"/>
      <c r="U249" s="355"/>
      <c r="V249" s="355"/>
      <c r="W249" s="355"/>
      <c r="X249" s="355"/>
      <c r="Y249" s="355"/>
      <c r="Z249" s="355"/>
      <c r="AA249" s="355"/>
      <c r="AB249" s="355"/>
      <c r="AC249" s="355"/>
      <c r="AD249" s="355"/>
      <c r="AE249" s="355"/>
      <c r="AF249" s="355"/>
      <c r="AG249" s="355"/>
      <c r="AH249" s="355"/>
      <c r="AI249" s="355"/>
      <c r="AJ249" s="219"/>
      <c r="AK249" s="219"/>
      <c r="AL249" s="219"/>
      <c r="AM249" s="399"/>
      <c r="AN249" s="399"/>
      <c r="AO249" s="399"/>
      <c r="AP249" s="399"/>
    </row>
    <row r="250" spans="1:42" ht="28.5" x14ac:dyDescent="0.25">
      <c r="A250" s="67" t="s">
        <v>1015</v>
      </c>
      <c r="B250" s="67"/>
      <c r="C250" s="67"/>
      <c r="D250" s="67"/>
      <c r="E250" s="67"/>
      <c r="F250" s="67"/>
      <c r="G250" s="67"/>
      <c r="H250" s="67"/>
      <c r="I250" s="67"/>
      <c r="L250" s="25"/>
      <c r="M250" s="354"/>
      <c r="N250" s="354"/>
      <c r="O250" s="355"/>
      <c r="P250" s="355"/>
      <c r="Q250" s="355"/>
      <c r="R250" s="355"/>
      <c r="S250" s="355"/>
      <c r="T250" s="355"/>
      <c r="U250" s="355"/>
      <c r="V250" s="355"/>
      <c r="W250" s="355"/>
      <c r="X250" s="355"/>
      <c r="Y250" s="355"/>
      <c r="Z250" s="355"/>
      <c r="AA250" s="355"/>
      <c r="AB250" s="355"/>
      <c r="AC250" s="355"/>
      <c r="AD250" s="355"/>
      <c r="AE250" s="355"/>
      <c r="AF250" s="355"/>
      <c r="AG250" s="355"/>
      <c r="AH250" s="355"/>
      <c r="AI250" s="355"/>
      <c r="AJ250" s="219"/>
      <c r="AK250" s="219"/>
      <c r="AL250" s="219"/>
      <c r="AM250" s="399"/>
      <c r="AN250" s="399"/>
      <c r="AO250" s="399"/>
      <c r="AP250" s="399"/>
    </row>
    <row r="251" spans="1:42" ht="15" customHeight="1" x14ac:dyDescent="0.25">
      <c r="A251" s="368" t="s">
        <v>0</v>
      </c>
      <c r="B251" s="369"/>
      <c r="C251" s="368" t="s">
        <v>165</v>
      </c>
      <c r="D251" s="71"/>
      <c r="E251" s="72"/>
      <c r="F251" s="139" t="s">
        <v>385</v>
      </c>
      <c r="G251" s="382" t="s">
        <v>508</v>
      </c>
      <c r="H251" s="103" t="s">
        <v>3</v>
      </c>
      <c r="I251" s="103" t="s">
        <v>4</v>
      </c>
      <c r="J251" s="380" t="s">
        <v>324</v>
      </c>
      <c r="K251" s="380" t="s">
        <v>5</v>
      </c>
      <c r="L251" s="25"/>
      <c r="M251" s="356" t="s">
        <v>2</v>
      </c>
      <c r="N251" s="357"/>
      <c r="O251" s="355"/>
      <c r="P251" s="355"/>
      <c r="Q251" s="355"/>
      <c r="R251" s="355"/>
      <c r="S251" s="355"/>
      <c r="T251" s="355"/>
      <c r="U251" s="355"/>
      <c r="V251" s="355"/>
      <c r="W251" s="355"/>
      <c r="X251" s="355"/>
      <c r="Y251" s="355"/>
      <c r="Z251" s="355"/>
      <c r="AA251" s="355"/>
      <c r="AB251" s="355"/>
      <c r="AC251" s="355"/>
      <c r="AD251" s="355"/>
      <c r="AE251" s="355"/>
      <c r="AF251" s="355"/>
      <c r="AG251" s="355"/>
      <c r="AH251" s="355"/>
      <c r="AI251" s="355"/>
      <c r="AJ251" s="219"/>
      <c r="AK251" s="219"/>
      <c r="AL251" s="219"/>
      <c r="AM251" s="399"/>
      <c r="AN251" s="399"/>
      <c r="AO251" s="399"/>
      <c r="AP251" s="399"/>
    </row>
    <row r="252" spans="1:42" ht="15" customHeight="1" x14ac:dyDescent="0.25">
      <c r="A252" s="370"/>
      <c r="B252" s="371"/>
      <c r="C252" s="370"/>
      <c r="D252" s="74"/>
      <c r="E252" s="75"/>
      <c r="F252" s="140" t="s">
        <v>386</v>
      </c>
      <c r="G252" s="383"/>
      <c r="H252" s="104" t="s">
        <v>8</v>
      </c>
      <c r="I252" s="104" t="s">
        <v>9</v>
      </c>
      <c r="J252" s="381"/>
      <c r="K252" s="381"/>
      <c r="L252" s="25"/>
      <c r="M252" s="357" t="s">
        <v>7</v>
      </c>
      <c r="N252" s="357"/>
      <c r="O252" s="355"/>
      <c r="P252" s="355"/>
      <c r="Q252" s="355"/>
      <c r="R252" s="355"/>
      <c r="S252" s="355"/>
      <c r="T252" s="355"/>
      <c r="U252" s="355"/>
      <c r="V252" s="355"/>
      <c r="W252" s="355"/>
      <c r="X252" s="355"/>
      <c r="Y252" s="355"/>
      <c r="Z252" s="355"/>
      <c r="AA252" s="355"/>
      <c r="AB252" s="355"/>
      <c r="AC252" s="355"/>
      <c r="AD252" s="355"/>
      <c r="AE252" s="355"/>
      <c r="AF252" s="355"/>
      <c r="AG252" s="355"/>
      <c r="AH252" s="355"/>
      <c r="AI252" s="355"/>
      <c r="AJ252" s="219"/>
      <c r="AK252" s="219"/>
      <c r="AL252" s="219"/>
      <c r="AM252" s="399"/>
      <c r="AN252" s="399"/>
      <c r="AO252" s="399"/>
      <c r="AP252" s="399"/>
    </row>
    <row r="253" spans="1:42" x14ac:dyDescent="0.25">
      <c r="A253" s="330"/>
      <c r="B253" s="48" t="s">
        <v>10</v>
      </c>
      <c r="C253" s="88" t="s">
        <v>240</v>
      </c>
      <c r="D253" s="55"/>
      <c r="E253" s="23" t="s">
        <v>241</v>
      </c>
      <c r="F253" s="180" t="s">
        <v>399</v>
      </c>
      <c r="G253" s="176" t="s">
        <v>496</v>
      </c>
      <c r="H253" s="19">
        <v>3</v>
      </c>
      <c r="I253" s="19">
        <v>3</v>
      </c>
      <c r="J253" s="15" t="s">
        <v>242</v>
      </c>
      <c r="K253" s="5">
        <v>4</v>
      </c>
      <c r="L253" s="25"/>
      <c r="M253" s="357" t="s">
        <v>19</v>
      </c>
      <c r="N253" s="357" t="s">
        <v>904</v>
      </c>
      <c r="O253" s="355">
        <v>155</v>
      </c>
      <c r="P253" s="355">
        <v>0.16</v>
      </c>
      <c r="Q253" s="355"/>
      <c r="R253" s="355">
        <v>30</v>
      </c>
      <c r="S253" s="355" t="s">
        <v>586</v>
      </c>
      <c r="T253" s="355" t="s">
        <v>604</v>
      </c>
      <c r="U253" s="355">
        <f>A253</f>
        <v>0</v>
      </c>
      <c r="V253" s="355"/>
      <c r="W253" s="360" t="str">
        <f>IF(U253=0,"",COUNTIF(W$27:W252,"&gt;0")+1)</f>
        <v/>
      </c>
      <c r="X253" s="360" t="str">
        <f>IF(U253=0,"",COUNTIF(X$27:X252,"&gt;0")+1)</f>
        <v/>
      </c>
      <c r="Y253" s="355"/>
      <c r="Z253" s="355"/>
      <c r="AA253" s="355"/>
      <c r="AB253" s="355"/>
      <c r="AC253" s="355"/>
      <c r="AD253" s="355"/>
      <c r="AE253" s="355"/>
      <c r="AF253" s="355"/>
      <c r="AG253" s="355"/>
      <c r="AH253" s="355"/>
      <c r="AI253" s="355"/>
      <c r="AJ253" s="219"/>
      <c r="AK253" s="219"/>
      <c r="AL253" s="219"/>
      <c r="AM253" s="399"/>
      <c r="AN253" s="399"/>
      <c r="AO253" s="399"/>
      <c r="AP253" s="399"/>
    </row>
    <row r="254" spans="1:42" x14ac:dyDescent="0.25">
      <c r="A254" s="330"/>
      <c r="B254" s="48" t="s">
        <v>10</v>
      </c>
      <c r="C254" s="88" t="s">
        <v>243</v>
      </c>
      <c r="D254" s="55"/>
      <c r="E254" s="64" t="s">
        <v>244</v>
      </c>
      <c r="F254" s="180" t="s">
        <v>399</v>
      </c>
      <c r="G254" s="176" t="s">
        <v>497</v>
      </c>
      <c r="H254" s="19">
        <v>3</v>
      </c>
      <c r="I254" s="19">
        <v>3</v>
      </c>
      <c r="J254" s="15" t="s">
        <v>242</v>
      </c>
      <c r="K254" s="5">
        <v>4</v>
      </c>
      <c r="L254" s="25"/>
      <c r="M254" s="357" t="s">
        <v>19</v>
      </c>
      <c r="N254" s="357" t="s">
        <v>905</v>
      </c>
      <c r="O254" s="355">
        <v>156</v>
      </c>
      <c r="P254" s="355">
        <v>0.16</v>
      </c>
      <c r="Q254" s="355"/>
      <c r="R254" s="355">
        <v>30</v>
      </c>
      <c r="S254" s="355" t="s">
        <v>586</v>
      </c>
      <c r="T254" s="355" t="s">
        <v>604</v>
      </c>
      <c r="U254" s="355">
        <f>A254</f>
        <v>0</v>
      </c>
      <c r="V254" s="355"/>
      <c r="W254" s="360" t="str">
        <f>IF(U254=0,"",COUNTIF(W$27:W253,"&gt;0")+1)</f>
        <v/>
      </c>
      <c r="X254" s="360" t="str">
        <f>IF(U254=0,"",COUNTIF(X$27:X253,"&gt;0")+1)</f>
        <v/>
      </c>
      <c r="Y254" s="355"/>
      <c r="Z254" s="355"/>
      <c r="AA254" s="355"/>
      <c r="AB254" s="355"/>
      <c r="AC254" s="355"/>
      <c r="AD254" s="355"/>
      <c r="AE254" s="355"/>
      <c r="AF254" s="355"/>
      <c r="AG254" s="355"/>
      <c r="AH254" s="355"/>
      <c r="AI254" s="355"/>
      <c r="AJ254" s="219"/>
      <c r="AK254" s="219"/>
      <c r="AL254" s="219"/>
      <c r="AM254" s="399"/>
      <c r="AN254" s="399"/>
      <c r="AO254" s="399"/>
      <c r="AP254" s="399"/>
    </row>
    <row r="255" spans="1:42" x14ac:dyDescent="0.25">
      <c r="A255" s="330"/>
      <c r="B255" s="48" t="s">
        <v>10</v>
      </c>
      <c r="C255" s="88" t="s">
        <v>245</v>
      </c>
      <c r="D255" s="55"/>
      <c r="E255" s="63" t="s">
        <v>246</v>
      </c>
      <c r="F255" s="180" t="s">
        <v>399</v>
      </c>
      <c r="G255" s="176" t="s">
        <v>498</v>
      </c>
      <c r="H255" s="19">
        <v>3</v>
      </c>
      <c r="I255" s="19">
        <v>3</v>
      </c>
      <c r="J255" s="15" t="s">
        <v>242</v>
      </c>
      <c r="K255" s="5">
        <v>4</v>
      </c>
      <c r="L255" s="25"/>
      <c r="M255" s="357" t="s">
        <v>19</v>
      </c>
      <c r="N255" s="357" t="s">
        <v>906</v>
      </c>
      <c r="O255" s="355">
        <v>157</v>
      </c>
      <c r="P255" s="355">
        <v>0.16</v>
      </c>
      <c r="Q255" s="355"/>
      <c r="R255" s="355">
        <v>30</v>
      </c>
      <c r="S255" s="355" t="s">
        <v>586</v>
      </c>
      <c r="T255" s="355" t="s">
        <v>604</v>
      </c>
      <c r="U255" s="355">
        <f>A255</f>
        <v>0</v>
      </c>
      <c r="V255" s="355"/>
      <c r="W255" s="360" t="str">
        <f>IF(U255=0,"",COUNTIF(W$27:W254,"&gt;0")+1)</f>
        <v/>
      </c>
      <c r="X255" s="360" t="str">
        <f>IF(U255=0,"",COUNTIF(X$27:X254,"&gt;0")+1)</f>
        <v/>
      </c>
      <c r="Y255" s="355"/>
      <c r="Z255" s="355"/>
      <c r="AA255" s="355"/>
      <c r="AB255" s="355"/>
      <c r="AC255" s="355"/>
      <c r="AD255" s="355"/>
      <c r="AE255" s="355"/>
      <c r="AF255" s="355"/>
      <c r="AG255" s="355"/>
      <c r="AH255" s="355"/>
      <c r="AI255" s="355"/>
      <c r="AJ255" s="219"/>
      <c r="AK255" s="219"/>
      <c r="AL255" s="219"/>
      <c r="AM255" s="399"/>
      <c r="AN255" s="399"/>
      <c r="AO255" s="399"/>
      <c r="AP255" s="399"/>
    </row>
    <row r="256" spans="1:42" x14ac:dyDescent="0.25">
      <c r="A256" s="330"/>
      <c r="B256" s="48" t="s">
        <v>10</v>
      </c>
      <c r="C256" s="88" t="s">
        <v>247</v>
      </c>
      <c r="D256" s="55"/>
      <c r="E256" s="65" t="s">
        <v>248</v>
      </c>
      <c r="F256" s="180" t="s">
        <v>399</v>
      </c>
      <c r="G256" s="176" t="s">
        <v>499</v>
      </c>
      <c r="H256" s="19">
        <v>3</v>
      </c>
      <c r="I256" s="19">
        <v>3</v>
      </c>
      <c r="J256" s="15" t="s">
        <v>242</v>
      </c>
      <c r="K256" s="5">
        <v>4</v>
      </c>
      <c r="L256" s="25"/>
      <c r="M256" s="357" t="s">
        <v>19</v>
      </c>
      <c r="N256" s="357" t="s">
        <v>907</v>
      </c>
      <c r="O256" s="355">
        <v>158</v>
      </c>
      <c r="P256" s="355">
        <v>0.16</v>
      </c>
      <c r="Q256" s="355"/>
      <c r="R256" s="355">
        <v>30</v>
      </c>
      <c r="S256" s="355" t="s">
        <v>586</v>
      </c>
      <c r="T256" s="355" t="s">
        <v>604</v>
      </c>
      <c r="U256" s="355">
        <f>A256</f>
        <v>0</v>
      </c>
      <c r="V256" s="355"/>
      <c r="W256" s="360" t="str">
        <f>IF(U256=0,"",COUNTIF(W$27:W255,"&gt;0")+1)</f>
        <v/>
      </c>
      <c r="X256" s="360" t="str">
        <f>IF(U256=0,"",COUNTIF(X$27:X255,"&gt;0")+1)</f>
        <v/>
      </c>
      <c r="Y256" s="355"/>
      <c r="Z256" s="355"/>
      <c r="AA256" s="355"/>
      <c r="AB256" s="355"/>
      <c r="AC256" s="355"/>
      <c r="AD256" s="355"/>
      <c r="AE256" s="355"/>
      <c r="AF256" s="355"/>
      <c r="AG256" s="355"/>
      <c r="AH256" s="355"/>
      <c r="AI256" s="355"/>
      <c r="AJ256" s="219"/>
      <c r="AK256" s="219"/>
      <c r="AL256" s="219"/>
      <c r="AM256" s="399"/>
      <c r="AN256" s="399"/>
      <c r="AO256" s="399"/>
      <c r="AP256" s="399"/>
    </row>
    <row r="257" spans="1:42" x14ac:dyDescent="0.25">
      <c r="A257" s="59">
        <f>SUM(A253:A256)</f>
        <v>0</v>
      </c>
      <c r="B257" s="48" t="s">
        <v>10</v>
      </c>
      <c r="C257" s="29" t="s">
        <v>164</v>
      </c>
      <c r="D257" s="26"/>
      <c r="E257" s="36"/>
      <c r="F257" s="36"/>
      <c r="G257" s="36"/>
      <c r="L257" s="25"/>
      <c r="M257" s="357"/>
      <c r="N257" s="357"/>
      <c r="O257" s="355"/>
      <c r="P257" s="355"/>
      <c r="Q257" s="355"/>
      <c r="R257" s="355"/>
      <c r="S257" s="355" t="s">
        <v>586</v>
      </c>
      <c r="T257" s="355"/>
      <c r="U257" s="355">
        <f>A257</f>
        <v>0</v>
      </c>
      <c r="V257" s="355"/>
      <c r="W257" s="360" t="str">
        <f>IF(U257=0,"",COUNTIF(W$27:W256,"&gt;0")+1)</f>
        <v/>
      </c>
      <c r="X257" s="355"/>
      <c r="Y257" s="355"/>
      <c r="Z257" s="355"/>
      <c r="AA257" s="355"/>
      <c r="AB257" s="355"/>
      <c r="AC257" s="355"/>
      <c r="AD257" s="355"/>
      <c r="AE257" s="355"/>
      <c r="AF257" s="355"/>
      <c r="AG257" s="355"/>
      <c r="AH257" s="355"/>
      <c r="AI257" s="355"/>
      <c r="AJ257" s="219"/>
      <c r="AK257" s="219"/>
      <c r="AL257" s="219"/>
      <c r="AM257" s="399"/>
      <c r="AN257" s="399"/>
      <c r="AO257" s="399"/>
      <c r="AP257" s="399"/>
    </row>
    <row r="258" spans="1:42" x14ac:dyDescent="0.25">
      <c r="A258" s="60"/>
      <c r="B258" s="21"/>
      <c r="C258" s="26"/>
      <c r="D258" s="26"/>
      <c r="E258" s="36"/>
      <c r="F258" s="36"/>
      <c r="G258" s="36"/>
      <c r="L258" s="25"/>
      <c r="M258" s="357"/>
      <c r="N258" s="357"/>
      <c r="O258" s="355"/>
      <c r="P258" s="355"/>
      <c r="Q258" s="355"/>
      <c r="R258" s="355"/>
      <c r="S258" s="355"/>
      <c r="T258" s="355"/>
      <c r="U258" s="355"/>
      <c r="V258" s="355"/>
      <c r="W258" s="355"/>
      <c r="X258" s="355"/>
      <c r="Y258" s="355"/>
      <c r="Z258" s="355"/>
      <c r="AA258" s="355"/>
      <c r="AB258" s="355"/>
      <c r="AC258" s="355"/>
      <c r="AD258" s="355"/>
      <c r="AE258" s="355"/>
      <c r="AF258" s="355"/>
      <c r="AG258" s="355"/>
      <c r="AH258" s="355"/>
      <c r="AI258" s="355"/>
      <c r="AJ258" s="219"/>
      <c r="AK258" s="219"/>
      <c r="AL258" s="219"/>
      <c r="AM258" s="399"/>
      <c r="AN258" s="399"/>
      <c r="AO258" s="399"/>
      <c r="AP258" s="399"/>
    </row>
    <row r="259" spans="1:42" ht="28.5" hidden="1" x14ac:dyDescent="0.25">
      <c r="A259" s="67" t="s">
        <v>461</v>
      </c>
      <c r="B259" s="67"/>
      <c r="C259" s="67"/>
      <c r="D259" s="67"/>
      <c r="E259" s="67"/>
      <c r="F259" s="67"/>
      <c r="G259" s="67"/>
      <c r="H259" s="67"/>
      <c r="I259" s="67"/>
      <c r="J259" s="67"/>
      <c r="L259" s="25"/>
      <c r="M259" s="354"/>
      <c r="N259" s="354"/>
      <c r="O259" s="355"/>
      <c r="P259" s="355"/>
      <c r="Q259" s="355"/>
      <c r="R259" s="355"/>
      <c r="S259" s="355"/>
      <c r="T259" s="355"/>
      <c r="U259" s="355"/>
      <c r="V259" s="355"/>
      <c r="W259" s="355"/>
      <c r="X259" s="355"/>
      <c r="Y259" s="355"/>
      <c r="Z259" s="355"/>
      <c r="AA259" s="355"/>
      <c r="AB259" s="355"/>
      <c r="AC259" s="355"/>
      <c r="AD259" s="355"/>
      <c r="AE259" s="355"/>
      <c r="AF259" s="355"/>
      <c r="AG259" s="355"/>
      <c r="AH259" s="355"/>
      <c r="AI259" s="355"/>
      <c r="AJ259" s="219"/>
      <c r="AK259" s="219"/>
      <c r="AL259" s="219"/>
      <c r="AM259" s="399"/>
      <c r="AN259" s="399"/>
      <c r="AO259" s="399"/>
      <c r="AP259" s="399"/>
    </row>
    <row r="260" spans="1:42" hidden="1" x14ac:dyDescent="0.25">
      <c r="A260" s="368" t="s">
        <v>0</v>
      </c>
      <c r="B260" s="369"/>
      <c r="C260" s="368" t="s">
        <v>165</v>
      </c>
      <c r="D260" s="71"/>
      <c r="E260" s="72"/>
      <c r="F260" s="139" t="s">
        <v>385</v>
      </c>
      <c r="G260" s="382" t="s">
        <v>508</v>
      </c>
      <c r="H260" s="103" t="s">
        <v>3</v>
      </c>
      <c r="I260" s="103" t="s">
        <v>4</v>
      </c>
      <c r="J260" s="380" t="s">
        <v>324</v>
      </c>
      <c r="K260" s="380" t="s">
        <v>5</v>
      </c>
      <c r="L260" s="25"/>
      <c r="M260" s="357" t="s">
        <v>2</v>
      </c>
      <c r="N260" s="357"/>
      <c r="O260" s="355"/>
      <c r="P260" s="355"/>
      <c r="Q260" s="355"/>
      <c r="R260" s="355"/>
      <c r="S260" s="355"/>
      <c r="T260" s="355"/>
      <c r="U260" s="355"/>
      <c r="V260" s="355"/>
      <c r="W260" s="355"/>
      <c r="X260" s="355"/>
      <c r="Y260" s="355"/>
      <c r="Z260" s="355"/>
      <c r="AA260" s="355"/>
      <c r="AB260" s="355"/>
      <c r="AC260" s="355"/>
      <c r="AD260" s="355"/>
      <c r="AE260" s="355"/>
      <c r="AF260" s="355"/>
      <c r="AG260" s="355"/>
      <c r="AH260" s="355"/>
      <c r="AI260" s="355"/>
      <c r="AJ260" s="219"/>
      <c r="AK260" s="219"/>
      <c r="AL260" s="219"/>
      <c r="AM260" s="399"/>
      <c r="AN260" s="399"/>
      <c r="AO260" s="399"/>
      <c r="AP260" s="399"/>
    </row>
    <row r="261" spans="1:42" hidden="1" x14ac:dyDescent="0.25">
      <c r="A261" s="370"/>
      <c r="B261" s="371"/>
      <c r="C261" s="370"/>
      <c r="D261" s="74"/>
      <c r="E261" s="75"/>
      <c r="F261" s="140" t="s">
        <v>386</v>
      </c>
      <c r="G261" s="383"/>
      <c r="H261" s="104" t="s">
        <v>8</v>
      </c>
      <c r="I261" s="104" t="s">
        <v>9</v>
      </c>
      <c r="J261" s="381"/>
      <c r="K261" s="381"/>
      <c r="L261" s="25"/>
      <c r="M261" s="357" t="s">
        <v>7</v>
      </c>
      <c r="N261" s="357"/>
      <c r="O261" s="355"/>
      <c r="P261" s="355"/>
      <c r="Q261" s="355"/>
      <c r="R261" s="355"/>
      <c r="S261" s="355"/>
      <c r="T261" s="355"/>
      <c r="U261" s="355"/>
      <c r="V261" s="355"/>
      <c r="W261" s="355"/>
      <c r="X261" s="355"/>
      <c r="Y261" s="355"/>
      <c r="Z261" s="355"/>
      <c r="AA261" s="355"/>
      <c r="AB261" s="355"/>
      <c r="AC261" s="355"/>
      <c r="AD261" s="355"/>
      <c r="AE261" s="355"/>
      <c r="AF261" s="355"/>
      <c r="AG261" s="355"/>
      <c r="AH261" s="355"/>
      <c r="AI261" s="355"/>
      <c r="AJ261" s="219"/>
      <c r="AK261" s="219"/>
      <c r="AL261" s="219"/>
      <c r="AM261" s="399"/>
      <c r="AN261" s="399"/>
      <c r="AO261" s="399"/>
      <c r="AP261" s="399"/>
    </row>
    <row r="262" spans="1:42" hidden="1" x14ac:dyDescent="0.25">
      <c r="A262" s="336"/>
      <c r="B262" s="48" t="s">
        <v>10</v>
      </c>
      <c r="C262" s="95" t="s">
        <v>503</v>
      </c>
      <c r="D262" s="75"/>
      <c r="E262" s="23" t="s">
        <v>241</v>
      </c>
      <c r="F262" s="180" t="s">
        <v>439</v>
      </c>
      <c r="G262" s="176">
        <v>8712044849584</v>
      </c>
      <c r="H262" s="13">
        <v>1</v>
      </c>
      <c r="I262" s="13">
        <v>1</v>
      </c>
      <c r="J262" s="199" t="s">
        <v>454</v>
      </c>
      <c r="K262" s="174"/>
      <c r="L262" s="25"/>
      <c r="M262" s="357" t="s">
        <v>30</v>
      </c>
      <c r="N262" s="357" t="s">
        <v>908</v>
      </c>
      <c r="O262" s="355"/>
      <c r="P262" s="355">
        <v>0.16</v>
      </c>
      <c r="Q262" s="355"/>
      <c r="R262" s="355">
        <v>30</v>
      </c>
      <c r="S262" s="355" t="s">
        <v>587</v>
      </c>
      <c r="T262" s="355" t="s">
        <v>604</v>
      </c>
      <c r="U262" s="355">
        <f t="shared" ref="U262:U268" si="59">A262</f>
        <v>0</v>
      </c>
      <c r="V262" s="355"/>
      <c r="W262" s="360" t="str">
        <f>IF(U262=0,"",COUNTIF(W$27:W261,"&gt;0")+1)</f>
        <v/>
      </c>
      <c r="X262" s="360" t="str">
        <f>IF(U262=0,"",COUNTIF(X$27:X261,"&gt;0")+1)</f>
        <v/>
      </c>
      <c r="Y262" s="355"/>
      <c r="Z262" s="355"/>
      <c r="AA262" s="355"/>
      <c r="AB262" s="355"/>
      <c r="AC262" s="355"/>
      <c r="AD262" s="355"/>
      <c r="AE262" s="355"/>
      <c r="AF262" s="355"/>
      <c r="AG262" s="355"/>
      <c r="AH262" s="355"/>
      <c r="AI262" s="355"/>
      <c r="AJ262" s="219"/>
      <c r="AK262" s="219"/>
      <c r="AL262" s="219"/>
      <c r="AM262" s="399"/>
      <c r="AN262" s="399"/>
      <c r="AO262" s="399"/>
      <c r="AP262" s="399"/>
    </row>
    <row r="263" spans="1:42" hidden="1" x14ac:dyDescent="0.25">
      <c r="A263" s="330"/>
      <c r="B263" s="48" t="s">
        <v>10</v>
      </c>
      <c r="C263" s="89" t="s">
        <v>504</v>
      </c>
      <c r="D263" s="54"/>
      <c r="E263" s="23" t="s">
        <v>241</v>
      </c>
      <c r="F263" s="180" t="s">
        <v>440</v>
      </c>
      <c r="G263" s="176">
        <v>8713469105538</v>
      </c>
      <c r="H263" s="13">
        <v>1</v>
      </c>
      <c r="I263" s="13">
        <v>1</v>
      </c>
      <c r="J263" s="37" t="s">
        <v>251</v>
      </c>
      <c r="K263" s="5">
        <v>4</v>
      </c>
      <c r="L263" s="25"/>
      <c r="M263" s="357" t="s">
        <v>30</v>
      </c>
      <c r="N263" s="357" t="s">
        <v>909</v>
      </c>
      <c r="O263" s="355"/>
      <c r="P263" s="355">
        <v>0.16</v>
      </c>
      <c r="Q263" s="355"/>
      <c r="R263" s="355">
        <v>30</v>
      </c>
      <c r="S263" s="355" t="s">
        <v>587</v>
      </c>
      <c r="T263" s="355" t="s">
        <v>604</v>
      </c>
      <c r="U263" s="355">
        <f t="shared" si="59"/>
        <v>0</v>
      </c>
      <c r="V263" s="355"/>
      <c r="W263" s="360" t="str">
        <f>IF(U263=0,"",COUNTIF(W$27:W262,"&gt;0")+1)</f>
        <v/>
      </c>
      <c r="X263" s="360" t="str">
        <f>IF(U263=0,"",COUNTIF(X$27:X262,"&gt;0")+1)</f>
        <v/>
      </c>
      <c r="Y263" s="355"/>
      <c r="Z263" s="355"/>
      <c r="AA263" s="355"/>
      <c r="AB263" s="355"/>
      <c r="AC263" s="355"/>
      <c r="AD263" s="355"/>
      <c r="AE263" s="355"/>
      <c r="AF263" s="355"/>
      <c r="AG263" s="355"/>
      <c r="AH263" s="355"/>
      <c r="AI263" s="355"/>
      <c r="AJ263" s="219"/>
      <c r="AK263" s="219"/>
      <c r="AL263" s="219"/>
      <c r="AM263" s="399"/>
      <c r="AN263" s="399"/>
      <c r="AO263" s="399"/>
      <c r="AP263" s="399"/>
    </row>
    <row r="264" spans="1:42" hidden="1" x14ac:dyDescent="0.25">
      <c r="A264" s="330"/>
      <c r="B264" s="48" t="s">
        <v>10</v>
      </c>
      <c r="C264" s="54" t="s">
        <v>501</v>
      </c>
      <c r="D264" s="54"/>
      <c r="E264" s="64" t="s">
        <v>244</v>
      </c>
      <c r="F264" s="180" t="s">
        <v>440</v>
      </c>
      <c r="G264" s="176">
        <v>8713469105439</v>
      </c>
      <c r="H264" s="13">
        <v>1</v>
      </c>
      <c r="I264" s="13">
        <v>1</v>
      </c>
      <c r="J264" s="37" t="s">
        <v>252</v>
      </c>
      <c r="K264" s="5">
        <v>4</v>
      </c>
      <c r="L264" s="25"/>
      <c r="M264" s="357" t="s">
        <v>30</v>
      </c>
      <c r="N264" s="357" t="s">
        <v>910</v>
      </c>
      <c r="O264" s="355"/>
      <c r="P264" s="355">
        <v>0.16</v>
      </c>
      <c r="Q264" s="355"/>
      <c r="R264" s="355">
        <v>30</v>
      </c>
      <c r="S264" s="355" t="s">
        <v>587</v>
      </c>
      <c r="T264" s="355" t="s">
        <v>604</v>
      </c>
      <c r="U264" s="355">
        <f t="shared" si="59"/>
        <v>0</v>
      </c>
      <c r="V264" s="355"/>
      <c r="W264" s="360" t="str">
        <f>IF(U264=0,"",COUNTIF(W$27:W263,"&gt;0")+1)</f>
        <v/>
      </c>
      <c r="X264" s="360" t="str">
        <f>IF(U264=0,"",COUNTIF(X$27:X263,"&gt;0")+1)</f>
        <v/>
      </c>
      <c r="Y264" s="355"/>
      <c r="Z264" s="355"/>
      <c r="AA264" s="355"/>
      <c r="AB264" s="355"/>
      <c r="AC264" s="355"/>
      <c r="AD264" s="355"/>
      <c r="AE264" s="355"/>
      <c r="AF264" s="355"/>
      <c r="AG264" s="355"/>
      <c r="AH264" s="355"/>
      <c r="AI264" s="355"/>
      <c r="AJ264" s="219"/>
      <c r="AK264" s="219"/>
      <c r="AL264" s="219"/>
      <c r="AM264" s="399"/>
      <c r="AN264" s="399"/>
      <c r="AO264" s="399"/>
      <c r="AP264" s="399"/>
    </row>
    <row r="265" spans="1:42" hidden="1" x14ac:dyDescent="0.25">
      <c r="A265" s="330"/>
      <c r="B265" s="48" t="s">
        <v>10</v>
      </c>
      <c r="C265" s="81" t="s">
        <v>505</v>
      </c>
      <c r="D265" s="46"/>
      <c r="E265" s="63" t="s">
        <v>246</v>
      </c>
      <c r="F265" s="180" t="s">
        <v>440</v>
      </c>
      <c r="G265" s="176">
        <v>8713469103251</v>
      </c>
      <c r="H265" s="13">
        <v>1</v>
      </c>
      <c r="I265" s="13">
        <v>1</v>
      </c>
      <c r="J265" s="15" t="s">
        <v>253</v>
      </c>
      <c r="K265" s="5">
        <v>4</v>
      </c>
      <c r="L265" s="25"/>
      <c r="M265" s="357" t="s">
        <v>30</v>
      </c>
      <c r="N265" s="357" t="s">
        <v>911</v>
      </c>
      <c r="O265" s="355"/>
      <c r="P265" s="355">
        <v>0.16</v>
      </c>
      <c r="Q265" s="355"/>
      <c r="R265" s="355">
        <v>30</v>
      </c>
      <c r="S265" s="355" t="s">
        <v>587</v>
      </c>
      <c r="T265" s="355" t="s">
        <v>604</v>
      </c>
      <c r="U265" s="355">
        <f t="shared" si="59"/>
        <v>0</v>
      </c>
      <c r="V265" s="355"/>
      <c r="W265" s="360" t="str">
        <f>IF(U265=0,"",COUNTIF(W$27:W264,"&gt;0")+1)</f>
        <v/>
      </c>
      <c r="X265" s="360" t="str">
        <f>IF(U265=0,"",COUNTIF(X$27:X264,"&gt;0")+1)</f>
        <v/>
      </c>
      <c r="Y265" s="355"/>
      <c r="Z265" s="355"/>
      <c r="AA265" s="355"/>
      <c r="AB265" s="355"/>
      <c r="AC265" s="355"/>
      <c r="AD265" s="355"/>
      <c r="AE265" s="355"/>
      <c r="AF265" s="355"/>
      <c r="AG265" s="355"/>
      <c r="AH265" s="355"/>
      <c r="AI265" s="355"/>
      <c r="AJ265" s="219"/>
      <c r="AK265" s="219"/>
      <c r="AL265" s="219"/>
      <c r="AM265" s="399"/>
      <c r="AN265" s="399"/>
      <c r="AO265" s="399"/>
      <c r="AP265" s="399"/>
    </row>
    <row r="266" spans="1:42" hidden="1" x14ac:dyDescent="0.25">
      <c r="A266" s="330"/>
      <c r="B266" s="48" t="s">
        <v>10</v>
      </c>
      <c r="C266" s="89" t="s">
        <v>502</v>
      </c>
      <c r="D266" s="54"/>
      <c r="E266" s="65" t="s">
        <v>248</v>
      </c>
      <c r="F266" s="180" t="s">
        <v>440</v>
      </c>
      <c r="G266" s="176">
        <v>8713469105545</v>
      </c>
      <c r="H266" s="13">
        <v>1</v>
      </c>
      <c r="I266" s="13">
        <v>1</v>
      </c>
      <c r="J266" s="15" t="s">
        <v>254</v>
      </c>
      <c r="K266" s="5">
        <v>4</v>
      </c>
      <c r="L266" s="25"/>
      <c r="M266" s="357" t="s">
        <v>30</v>
      </c>
      <c r="N266" s="357" t="s">
        <v>912</v>
      </c>
      <c r="O266" s="355"/>
      <c r="P266" s="355">
        <v>0.16</v>
      </c>
      <c r="Q266" s="355"/>
      <c r="R266" s="355">
        <v>30</v>
      </c>
      <c r="S266" s="355" t="s">
        <v>587</v>
      </c>
      <c r="T266" s="355" t="s">
        <v>604</v>
      </c>
      <c r="U266" s="355">
        <f t="shared" si="59"/>
        <v>0</v>
      </c>
      <c r="V266" s="355"/>
      <c r="W266" s="360" t="str">
        <f>IF(U266=0,"",COUNTIF(W$27:W265,"&gt;0")+1)</f>
        <v/>
      </c>
      <c r="X266" s="360" t="str">
        <f>IF(U266=0,"",COUNTIF(X$27:X265,"&gt;0")+1)</f>
        <v/>
      </c>
      <c r="Y266" s="355"/>
      <c r="Z266" s="355"/>
      <c r="AA266" s="355"/>
      <c r="AB266" s="355"/>
      <c r="AC266" s="355"/>
      <c r="AD266" s="355"/>
      <c r="AE266" s="355"/>
      <c r="AF266" s="355"/>
      <c r="AG266" s="355"/>
      <c r="AH266" s="355"/>
      <c r="AI266" s="355"/>
      <c r="AJ266" s="219"/>
      <c r="AK266" s="219"/>
      <c r="AL266" s="219"/>
      <c r="AM266" s="399"/>
      <c r="AN266" s="399"/>
      <c r="AO266" s="399"/>
      <c r="AP266" s="399"/>
    </row>
    <row r="267" spans="1:42" hidden="1" x14ac:dyDescent="0.25">
      <c r="A267" s="330"/>
      <c r="B267" s="48" t="s">
        <v>10</v>
      </c>
      <c r="C267" s="95" t="s">
        <v>500</v>
      </c>
      <c r="D267" s="56"/>
      <c r="E267" s="66" t="s">
        <v>249</v>
      </c>
      <c r="F267" s="180" t="s">
        <v>441</v>
      </c>
      <c r="G267" s="176">
        <v>8713469105293</v>
      </c>
      <c r="H267" s="13">
        <v>1</v>
      </c>
      <c r="I267" s="13">
        <v>1</v>
      </c>
      <c r="J267" s="37" t="s">
        <v>250</v>
      </c>
      <c r="K267" s="5">
        <v>4</v>
      </c>
      <c r="L267" s="25"/>
      <c r="M267" s="357" t="s">
        <v>30</v>
      </c>
      <c r="N267" s="357" t="s">
        <v>913</v>
      </c>
      <c r="O267" s="355"/>
      <c r="P267" s="355">
        <v>0.16</v>
      </c>
      <c r="Q267" s="355"/>
      <c r="R267" s="355">
        <v>30</v>
      </c>
      <c r="S267" s="355" t="s">
        <v>587</v>
      </c>
      <c r="T267" s="355" t="s">
        <v>604</v>
      </c>
      <c r="U267" s="355">
        <f t="shared" si="59"/>
        <v>0</v>
      </c>
      <c r="V267" s="355"/>
      <c r="W267" s="360" t="str">
        <f>IF(U267=0,"",COUNTIF(W$27:W266,"&gt;0")+1)</f>
        <v/>
      </c>
      <c r="X267" s="360" t="str">
        <f>IF(U267=0,"",COUNTIF(X$27:X266,"&gt;0")+1)</f>
        <v/>
      </c>
      <c r="Y267" s="355"/>
      <c r="Z267" s="355"/>
      <c r="AA267" s="355"/>
      <c r="AB267" s="355"/>
      <c r="AC267" s="355"/>
      <c r="AD267" s="355"/>
      <c r="AE267" s="355"/>
      <c r="AF267" s="355"/>
      <c r="AG267" s="355"/>
      <c r="AH267" s="355"/>
      <c r="AI267" s="355"/>
      <c r="AJ267" s="219"/>
      <c r="AK267" s="219"/>
      <c r="AL267" s="219"/>
      <c r="AM267" s="399"/>
      <c r="AN267" s="399"/>
      <c r="AO267" s="399"/>
      <c r="AP267" s="399"/>
    </row>
    <row r="268" spans="1:42" hidden="1" x14ac:dyDescent="0.25">
      <c r="A268" s="59">
        <f>SUM(A262:A267)</f>
        <v>0</v>
      </c>
      <c r="B268" s="48" t="s">
        <v>10</v>
      </c>
      <c r="C268" s="26" t="s">
        <v>164</v>
      </c>
      <c r="D268" s="26"/>
      <c r="E268" s="6"/>
      <c r="F268" s="193"/>
      <c r="G268" s="6"/>
      <c r="H268" s="3"/>
      <c r="K268" s="7"/>
      <c r="L268" s="25"/>
      <c r="M268" s="357"/>
      <c r="N268" s="357"/>
      <c r="O268" s="355"/>
      <c r="P268" s="355"/>
      <c r="Q268" s="355"/>
      <c r="R268" s="355"/>
      <c r="S268" s="355" t="s">
        <v>587</v>
      </c>
      <c r="T268" s="355"/>
      <c r="U268" s="355">
        <f t="shared" si="59"/>
        <v>0</v>
      </c>
      <c r="V268" s="355"/>
      <c r="W268" s="360" t="str">
        <f>IF(U268=0,"",COUNTIF(W$27:W267,"&gt;0")+1)</f>
        <v/>
      </c>
      <c r="X268" s="355"/>
      <c r="Y268" s="355"/>
      <c r="Z268" s="355"/>
      <c r="AA268" s="355"/>
      <c r="AB268" s="355"/>
      <c r="AC268" s="355"/>
      <c r="AD268" s="355"/>
      <c r="AE268" s="355"/>
      <c r="AF268" s="355"/>
      <c r="AG268" s="355"/>
      <c r="AH268" s="355"/>
      <c r="AI268" s="355"/>
      <c r="AJ268" s="219"/>
      <c r="AK268" s="219"/>
      <c r="AL268" s="219"/>
      <c r="AM268" s="399"/>
      <c r="AN268" s="399"/>
      <c r="AO268" s="399"/>
      <c r="AP268" s="399"/>
    </row>
    <row r="269" spans="1:42" hidden="1" x14ac:dyDescent="0.25">
      <c r="A269" s="60"/>
      <c r="B269" s="21"/>
      <c r="C269" s="26"/>
      <c r="D269" s="26"/>
      <c r="E269" s="6"/>
      <c r="F269" s="193"/>
      <c r="G269" s="6"/>
      <c r="H269" s="3"/>
      <c r="K269" s="7"/>
      <c r="L269" s="25"/>
      <c r="M269" s="357"/>
      <c r="N269" s="357"/>
      <c r="O269" s="355"/>
      <c r="P269" s="355"/>
      <c r="Q269" s="355"/>
      <c r="R269" s="355"/>
      <c r="S269" s="355"/>
      <c r="T269" s="355"/>
      <c r="U269" s="355"/>
      <c r="V269" s="355"/>
      <c r="W269" s="355"/>
      <c r="X269" s="355"/>
      <c r="Y269" s="355"/>
      <c r="Z269" s="355"/>
      <c r="AA269" s="355"/>
      <c r="AB269" s="355"/>
      <c r="AC269" s="355"/>
      <c r="AD269" s="355"/>
      <c r="AE269" s="355"/>
      <c r="AF269" s="355"/>
      <c r="AG269" s="355"/>
      <c r="AH269" s="355"/>
      <c r="AI269" s="355"/>
      <c r="AJ269" s="219"/>
      <c r="AK269" s="219"/>
      <c r="AL269" s="219"/>
      <c r="AM269" s="399"/>
      <c r="AN269" s="399"/>
      <c r="AO269" s="399"/>
      <c r="AP269" s="399"/>
    </row>
    <row r="270" spans="1:42" ht="28.5" hidden="1" x14ac:dyDescent="0.25">
      <c r="A270" s="67" t="s">
        <v>473</v>
      </c>
      <c r="B270" s="67"/>
      <c r="C270" s="67"/>
      <c r="D270" s="67"/>
      <c r="E270" s="67"/>
      <c r="F270" s="67"/>
      <c r="G270" s="67"/>
      <c r="H270" s="67"/>
      <c r="I270" s="67"/>
      <c r="J270" s="67"/>
      <c r="K270" s="7"/>
      <c r="M270" s="354"/>
      <c r="N270" s="354"/>
      <c r="O270" s="355"/>
      <c r="P270" s="355"/>
      <c r="Q270" s="355"/>
      <c r="R270" s="355"/>
      <c r="S270" s="355"/>
      <c r="T270" s="355"/>
      <c r="U270" s="355"/>
      <c r="V270" s="355"/>
      <c r="W270" s="355"/>
      <c r="X270" s="355"/>
      <c r="Y270" s="355"/>
      <c r="Z270" s="355"/>
      <c r="AA270" s="355"/>
      <c r="AB270" s="355"/>
      <c r="AC270" s="355"/>
      <c r="AD270" s="355"/>
      <c r="AE270" s="355"/>
      <c r="AF270" s="355"/>
      <c r="AG270" s="355"/>
      <c r="AH270" s="355"/>
      <c r="AI270" s="355"/>
      <c r="AJ270" s="219"/>
      <c r="AK270" s="219"/>
      <c r="AL270" s="219"/>
      <c r="AM270" s="399"/>
      <c r="AN270" s="399"/>
      <c r="AO270" s="399"/>
      <c r="AP270" s="399"/>
    </row>
    <row r="271" spans="1:42" hidden="1" x14ac:dyDescent="0.25">
      <c r="A271" s="368" t="s">
        <v>0</v>
      </c>
      <c r="B271" s="369"/>
      <c r="C271" s="368" t="s">
        <v>165</v>
      </c>
      <c r="D271" s="71"/>
      <c r="E271" s="72"/>
      <c r="F271" s="139" t="s">
        <v>385</v>
      </c>
      <c r="G271" s="382" t="s">
        <v>508</v>
      </c>
      <c r="H271" s="103" t="s">
        <v>3</v>
      </c>
      <c r="I271" s="103" t="s">
        <v>4</v>
      </c>
      <c r="J271" s="380" t="s">
        <v>666</v>
      </c>
      <c r="K271" s="208" t="s">
        <v>5</v>
      </c>
      <c r="M271" s="357" t="s">
        <v>2</v>
      </c>
      <c r="N271" s="357"/>
      <c r="O271" s="355"/>
      <c r="P271" s="355"/>
      <c r="Q271" s="355"/>
      <c r="R271" s="355"/>
      <c r="S271" s="355"/>
      <c r="T271" s="355"/>
      <c r="U271" s="355"/>
      <c r="V271" s="355"/>
      <c r="W271" s="355"/>
      <c r="X271" s="355"/>
      <c r="Y271" s="355"/>
      <c r="Z271" s="355"/>
      <c r="AA271" s="355"/>
      <c r="AB271" s="355"/>
      <c r="AC271" s="355"/>
      <c r="AD271" s="355"/>
      <c r="AE271" s="355"/>
      <c r="AF271" s="355"/>
      <c r="AG271" s="355"/>
      <c r="AH271" s="355"/>
      <c r="AI271" s="355"/>
      <c r="AJ271" s="219"/>
      <c r="AK271" s="219"/>
      <c r="AL271" s="219"/>
      <c r="AM271" s="399"/>
      <c r="AN271" s="399"/>
      <c r="AO271" s="399"/>
      <c r="AP271" s="399"/>
    </row>
    <row r="272" spans="1:42" hidden="1" x14ac:dyDescent="0.25">
      <c r="A272" s="370"/>
      <c r="B272" s="371"/>
      <c r="C272" s="370"/>
      <c r="D272" s="74"/>
      <c r="E272" s="75"/>
      <c r="F272" s="140" t="s">
        <v>386</v>
      </c>
      <c r="G272" s="383"/>
      <c r="H272" s="104" t="s">
        <v>8</v>
      </c>
      <c r="I272" s="104" t="s">
        <v>9</v>
      </c>
      <c r="J272" s="381"/>
      <c r="K272" s="174"/>
      <c r="L272" s="25"/>
      <c r="M272" s="357" t="s">
        <v>7</v>
      </c>
      <c r="N272" s="357"/>
      <c r="O272" s="355"/>
      <c r="P272" s="355"/>
      <c r="Q272" s="355"/>
      <c r="R272" s="355"/>
      <c r="S272" s="355"/>
      <c r="T272" s="355"/>
      <c r="U272" s="355"/>
      <c r="V272" s="355"/>
      <c r="W272" s="355"/>
      <c r="X272" s="355"/>
      <c r="Y272" s="355"/>
      <c r="Z272" s="355"/>
      <c r="AA272" s="355"/>
      <c r="AB272" s="355"/>
      <c r="AC272" s="355"/>
      <c r="AD272" s="355"/>
      <c r="AE272" s="355"/>
      <c r="AF272" s="355"/>
      <c r="AG272" s="355"/>
      <c r="AH272" s="355"/>
      <c r="AI272" s="355"/>
      <c r="AJ272" s="219"/>
      <c r="AK272" s="219"/>
      <c r="AL272" s="219"/>
      <c r="AM272" s="399"/>
      <c r="AN272" s="399"/>
      <c r="AO272" s="399"/>
      <c r="AP272" s="399"/>
    </row>
    <row r="273" spans="1:42" hidden="1" x14ac:dyDescent="0.25">
      <c r="A273" s="330"/>
      <c r="B273" s="48" t="s">
        <v>210</v>
      </c>
      <c r="C273" s="88" t="s">
        <v>240</v>
      </c>
      <c r="D273" s="55"/>
      <c r="E273" s="23" t="s">
        <v>241</v>
      </c>
      <c r="F273" s="180" t="s">
        <v>440</v>
      </c>
      <c r="G273" s="176">
        <v>8719743713451</v>
      </c>
      <c r="H273" s="13">
        <v>1</v>
      </c>
      <c r="I273" s="13">
        <v>1</v>
      </c>
      <c r="J273" s="15" t="s">
        <v>515</v>
      </c>
      <c r="K273" s="5">
        <v>4</v>
      </c>
      <c r="L273" s="25"/>
      <c r="M273" s="357" t="s">
        <v>30</v>
      </c>
      <c r="N273" s="357" t="s">
        <v>914</v>
      </c>
      <c r="O273" s="355"/>
      <c r="P273" s="355">
        <v>0.16</v>
      </c>
      <c r="Q273" s="355"/>
      <c r="R273" s="355">
        <v>30</v>
      </c>
      <c r="S273" s="355" t="s">
        <v>588</v>
      </c>
      <c r="T273" s="355" t="s">
        <v>604</v>
      </c>
      <c r="U273" s="355">
        <f t="shared" ref="U273:U279" si="60">A273</f>
        <v>0</v>
      </c>
      <c r="V273" s="355"/>
      <c r="W273" s="360" t="str">
        <f>IF(U273=0,"",COUNTIF(W$27:W272,"&gt;0")+1)</f>
        <v/>
      </c>
      <c r="X273" s="360" t="str">
        <f>IF(U273=0,"",COUNTIF(X$27:X272,"&gt;0")+1)</f>
        <v/>
      </c>
      <c r="Y273" s="355"/>
      <c r="Z273" s="355"/>
      <c r="AA273" s="355"/>
      <c r="AB273" s="355"/>
      <c r="AC273" s="355"/>
      <c r="AD273" s="355"/>
      <c r="AE273" s="355"/>
      <c r="AF273" s="355"/>
      <c r="AG273" s="355"/>
      <c r="AH273" s="355"/>
      <c r="AI273" s="355"/>
      <c r="AJ273" s="219"/>
      <c r="AK273" s="219"/>
      <c r="AL273" s="219"/>
      <c r="AM273" s="399"/>
      <c r="AN273" s="399"/>
      <c r="AO273" s="399"/>
      <c r="AP273" s="399"/>
    </row>
    <row r="274" spans="1:42" hidden="1" x14ac:dyDescent="0.25">
      <c r="A274" s="330"/>
      <c r="B274" s="48" t="s">
        <v>210</v>
      </c>
      <c r="C274" s="88" t="s">
        <v>243</v>
      </c>
      <c r="D274" s="55"/>
      <c r="E274" s="64" t="s">
        <v>244</v>
      </c>
      <c r="F274" s="180" t="s">
        <v>440</v>
      </c>
      <c r="G274" s="176">
        <v>8719743713468</v>
      </c>
      <c r="H274" s="13">
        <v>1</v>
      </c>
      <c r="I274" s="13">
        <v>1</v>
      </c>
      <c r="J274" s="15" t="s">
        <v>515</v>
      </c>
      <c r="K274" s="5">
        <v>4</v>
      </c>
      <c r="L274" s="25"/>
      <c r="M274" s="357" t="s">
        <v>30</v>
      </c>
      <c r="N274" s="357" t="s">
        <v>915</v>
      </c>
      <c r="O274" s="355"/>
      <c r="P274" s="355">
        <v>0.16</v>
      </c>
      <c r="Q274" s="355"/>
      <c r="R274" s="355">
        <v>30</v>
      </c>
      <c r="S274" s="355" t="s">
        <v>588</v>
      </c>
      <c r="T274" s="355" t="s">
        <v>604</v>
      </c>
      <c r="U274" s="355">
        <f t="shared" si="60"/>
        <v>0</v>
      </c>
      <c r="V274" s="355"/>
      <c r="W274" s="360" t="str">
        <f>IF(U274=0,"",COUNTIF(W$27:W273,"&gt;0")+1)</f>
        <v/>
      </c>
      <c r="X274" s="360" t="str">
        <f>IF(U274=0,"",COUNTIF(X$27:X273,"&gt;0")+1)</f>
        <v/>
      </c>
      <c r="Y274" s="355"/>
      <c r="Z274" s="355"/>
      <c r="AA274" s="355"/>
      <c r="AB274" s="355"/>
      <c r="AC274" s="355"/>
      <c r="AD274" s="355"/>
      <c r="AE274" s="355"/>
      <c r="AF274" s="355"/>
      <c r="AG274" s="355"/>
      <c r="AH274" s="355"/>
      <c r="AI274" s="355"/>
      <c r="AJ274" s="219"/>
      <c r="AK274" s="219"/>
      <c r="AL274" s="219"/>
      <c r="AM274" s="399"/>
      <c r="AN274" s="399"/>
      <c r="AO274" s="399"/>
      <c r="AP274" s="399"/>
    </row>
    <row r="275" spans="1:42" hidden="1" x14ac:dyDescent="0.25">
      <c r="A275" s="330"/>
      <c r="B275" s="48" t="s">
        <v>210</v>
      </c>
      <c r="C275" s="88" t="s">
        <v>245</v>
      </c>
      <c r="D275" s="55"/>
      <c r="E275" s="63" t="s">
        <v>246</v>
      </c>
      <c r="F275" s="180" t="s">
        <v>440</v>
      </c>
      <c r="G275" s="176" t="s">
        <v>506</v>
      </c>
      <c r="H275" s="13">
        <v>1</v>
      </c>
      <c r="I275" s="13">
        <v>1</v>
      </c>
      <c r="J275" s="15" t="s">
        <v>515</v>
      </c>
      <c r="K275" s="5">
        <v>4</v>
      </c>
      <c r="L275" s="25"/>
      <c r="M275" s="357" t="s">
        <v>30</v>
      </c>
      <c r="N275" s="357" t="s">
        <v>916</v>
      </c>
      <c r="O275" s="355"/>
      <c r="P275" s="355">
        <v>0.16</v>
      </c>
      <c r="Q275" s="355"/>
      <c r="R275" s="355">
        <v>30</v>
      </c>
      <c r="S275" s="355" t="s">
        <v>588</v>
      </c>
      <c r="T275" s="355" t="s">
        <v>604</v>
      </c>
      <c r="U275" s="355">
        <f t="shared" si="60"/>
        <v>0</v>
      </c>
      <c r="V275" s="355"/>
      <c r="W275" s="360" t="str">
        <f>IF(U275=0,"",COUNTIF(W$27:W274,"&gt;0")+1)</f>
        <v/>
      </c>
      <c r="X275" s="360" t="str">
        <f>IF(U275=0,"",COUNTIF(X$27:X274,"&gt;0")+1)</f>
        <v/>
      </c>
      <c r="Y275" s="355"/>
      <c r="Z275" s="355"/>
      <c r="AA275" s="355"/>
      <c r="AB275" s="355"/>
      <c r="AC275" s="355"/>
      <c r="AD275" s="355"/>
      <c r="AE275" s="355"/>
      <c r="AF275" s="355"/>
      <c r="AG275" s="355"/>
      <c r="AH275" s="355"/>
      <c r="AI275" s="355"/>
      <c r="AJ275" s="219"/>
      <c r="AK275" s="219"/>
      <c r="AL275" s="219"/>
      <c r="AM275" s="399"/>
      <c r="AN275" s="399"/>
      <c r="AO275" s="399"/>
      <c r="AP275" s="399"/>
    </row>
    <row r="276" spans="1:42" hidden="1" x14ac:dyDescent="0.25">
      <c r="A276" s="330"/>
      <c r="B276" s="48" t="s">
        <v>210</v>
      </c>
      <c r="C276" s="88" t="s">
        <v>247</v>
      </c>
      <c r="D276" s="55"/>
      <c r="E276" s="65" t="s">
        <v>248</v>
      </c>
      <c r="F276" s="180" t="s">
        <v>440</v>
      </c>
      <c r="G276" s="176">
        <v>8719743713482</v>
      </c>
      <c r="H276" s="13">
        <v>1</v>
      </c>
      <c r="I276" s="13">
        <v>1</v>
      </c>
      <c r="J276" s="15" t="s">
        <v>515</v>
      </c>
      <c r="K276" s="5">
        <v>4</v>
      </c>
      <c r="L276" s="25"/>
      <c r="M276" s="357" t="s">
        <v>30</v>
      </c>
      <c r="N276" s="357" t="s">
        <v>917</v>
      </c>
      <c r="O276" s="355"/>
      <c r="P276" s="355">
        <v>0.16</v>
      </c>
      <c r="Q276" s="355"/>
      <c r="R276" s="355">
        <v>30</v>
      </c>
      <c r="S276" s="355" t="s">
        <v>588</v>
      </c>
      <c r="T276" s="355" t="s">
        <v>604</v>
      </c>
      <c r="U276" s="355">
        <f t="shared" si="60"/>
        <v>0</v>
      </c>
      <c r="V276" s="355"/>
      <c r="W276" s="360" t="str">
        <f>IF(U276=0,"",COUNTIF(W$27:W275,"&gt;0")+1)</f>
        <v/>
      </c>
      <c r="X276" s="360" t="str">
        <f>IF(U276=0,"",COUNTIF(X$27:X275,"&gt;0")+1)</f>
        <v/>
      </c>
      <c r="Y276" s="355"/>
      <c r="Z276" s="355"/>
      <c r="AA276" s="355"/>
      <c r="AB276" s="355"/>
      <c r="AC276" s="355"/>
      <c r="AD276" s="355"/>
      <c r="AE276" s="355"/>
      <c r="AF276" s="355"/>
      <c r="AG276" s="355"/>
      <c r="AH276" s="355"/>
      <c r="AI276" s="355"/>
      <c r="AJ276" s="219"/>
      <c r="AK276" s="219"/>
      <c r="AL276" s="219"/>
      <c r="AM276" s="399"/>
      <c r="AN276" s="399"/>
      <c r="AO276" s="399"/>
      <c r="AP276" s="399"/>
    </row>
    <row r="277" spans="1:42" hidden="1" x14ac:dyDescent="0.25">
      <c r="A277" s="330"/>
      <c r="B277" s="48" t="s">
        <v>210</v>
      </c>
      <c r="C277" s="89" t="s">
        <v>255</v>
      </c>
      <c r="D277" s="55"/>
      <c r="E277" s="66" t="s">
        <v>249</v>
      </c>
      <c r="F277" s="180" t="s">
        <v>440</v>
      </c>
      <c r="G277" s="176">
        <v>8719743713499</v>
      </c>
      <c r="H277" s="13">
        <v>1</v>
      </c>
      <c r="I277" s="13">
        <v>1</v>
      </c>
      <c r="J277" s="15" t="s">
        <v>515</v>
      </c>
      <c r="K277" s="5">
        <v>4</v>
      </c>
      <c r="L277" s="25"/>
      <c r="M277" s="357" t="s">
        <v>30</v>
      </c>
      <c r="N277" s="357" t="s">
        <v>918</v>
      </c>
      <c r="O277" s="355"/>
      <c r="P277" s="355">
        <v>0.16</v>
      </c>
      <c r="Q277" s="355"/>
      <c r="R277" s="355">
        <v>30</v>
      </c>
      <c r="S277" s="355" t="s">
        <v>588</v>
      </c>
      <c r="T277" s="355" t="s">
        <v>604</v>
      </c>
      <c r="U277" s="355">
        <f t="shared" si="60"/>
        <v>0</v>
      </c>
      <c r="V277" s="355"/>
      <c r="W277" s="360" t="str">
        <f>IF(U277=0,"",COUNTIF(W$27:W276,"&gt;0")+1)</f>
        <v/>
      </c>
      <c r="X277" s="360" t="str">
        <f>IF(U277=0,"",COUNTIF(X$27:X276,"&gt;0")+1)</f>
        <v/>
      </c>
      <c r="Y277" s="355"/>
      <c r="Z277" s="355"/>
      <c r="AA277" s="355"/>
      <c r="AB277" s="355"/>
      <c r="AC277" s="355"/>
      <c r="AD277" s="355"/>
      <c r="AE277" s="355"/>
      <c r="AF277" s="355"/>
      <c r="AG277" s="355"/>
      <c r="AH277" s="355"/>
      <c r="AI277" s="355"/>
      <c r="AJ277" s="219"/>
      <c r="AK277" s="219"/>
      <c r="AL277" s="219"/>
      <c r="AM277" s="399"/>
      <c r="AN277" s="399"/>
      <c r="AO277" s="399"/>
      <c r="AP277" s="399"/>
    </row>
    <row r="278" spans="1:42" hidden="1" x14ac:dyDescent="0.25">
      <c r="A278" s="330"/>
      <c r="B278" s="48" t="s">
        <v>210</v>
      </c>
      <c r="C278" s="134" t="s">
        <v>474</v>
      </c>
      <c r="D278" s="55"/>
      <c r="E278" s="129" t="s">
        <v>436</v>
      </c>
      <c r="F278" s="180" t="s">
        <v>30</v>
      </c>
      <c r="G278" s="176">
        <v>8719743712010</v>
      </c>
      <c r="H278" s="13">
        <v>1</v>
      </c>
      <c r="I278" s="13">
        <v>1</v>
      </c>
      <c r="J278" s="15" t="s">
        <v>513</v>
      </c>
      <c r="K278" s="5">
        <v>4</v>
      </c>
      <c r="L278" s="25"/>
      <c r="M278" s="357" t="s">
        <v>30</v>
      </c>
      <c r="N278" s="357" t="s">
        <v>932</v>
      </c>
      <c r="O278" s="355"/>
      <c r="P278" s="355">
        <v>0.16</v>
      </c>
      <c r="Q278" s="355"/>
      <c r="R278" s="355">
        <v>30</v>
      </c>
      <c r="S278" s="355" t="s">
        <v>588</v>
      </c>
      <c r="T278" s="355" t="s">
        <v>604</v>
      </c>
      <c r="U278" s="355">
        <f t="shared" si="60"/>
        <v>0</v>
      </c>
      <c r="V278" s="355"/>
      <c r="W278" s="360" t="str">
        <f>IF(U278=0,"",COUNTIF(W$27:W277,"&gt;0")+1)</f>
        <v/>
      </c>
      <c r="X278" s="360" t="str">
        <f>IF(U278=0,"",COUNTIF(X$27:X277,"&gt;0")+1)</f>
        <v/>
      </c>
      <c r="Y278" s="355"/>
      <c r="Z278" s="355"/>
      <c r="AA278" s="355"/>
      <c r="AB278" s="355"/>
      <c r="AC278" s="355"/>
      <c r="AD278" s="355"/>
      <c r="AE278" s="355"/>
      <c r="AF278" s="355"/>
      <c r="AG278" s="355"/>
      <c r="AH278" s="355"/>
      <c r="AI278" s="355"/>
      <c r="AJ278" s="219"/>
      <c r="AK278" s="219"/>
      <c r="AL278" s="219"/>
      <c r="AM278" s="399"/>
      <c r="AN278" s="399"/>
      <c r="AO278" s="399"/>
      <c r="AP278" s="399"/>
    </row>
    <row r="279" spans="1:42" ht="15" hidden="1" customHeight="1" x14ac:dyDescent="0.25">
      <c r="A279" s="59">
        <f>SUM(A273:A278)</f>
        <v>0</v>
      </c>
      <c r="B279" s="48" t="s">
        <v>210</v>
      </c>
      <c r="C279" s="4" t="s">
        <v>164</v>
      </c>
      <c r="D279" s="67"/>
      <c r="E279" s="67"/>
      <c r="F279" s="67"/>
      <c r="G279" s="67"/>
      <c r="H279" s="67"/>
      <c r="I279" s="67"/>
      <c r="K279" s="7"/>
      <c r="L279" s="25"/>
      <c r="M279" s="354"/>
      <c r="N279" s="354"/>
      <c r="O279" s="355"/>
      <c r="P279" s="355"/>
      <c r="Q279" s="355"/>
      <c r="R279" s="355"/>
      <c r="S279" s="355" t="s">
        <v>588</v>
      </c>
      <c r="T279" s="355"/>
      <c r="U279" s="355">
        <f t="shared" si="60"/>
        <v>0</v>
      </c>
      <c r="V279" s="355"/>
      <c r="W279" s="360" t="str">
        <f>IF(U279=0,"",COUNTIF(W$27:W278,"&gt;0")+1)</f>
        <v/>
      </c>
      <c r="X279" s="355"/>
      <c r="Y279" s="355"/>
      <c r="Z279" s="355"/>
      <c r="AA279" s="355"/>
      <c r="AB279" s="355"/>
      <c r="AC279" s="355"/>
      <c r="AD279" s="355"/>
      <c r="AE279" s="355"/>
      <c r="AF279" s="355"/>
      <c r="AG279" s="355"/>
      <c r="AH279" s="355"/>
      <c r="AI279" s="355"/>
      <c r="AJ279" s="219"/>
      <c r="AK279" s="219"/>
      <c r="AL279" s="219"/>
      <c r="AM279" s="399"/>
      <c r="AN279" s="399"/>
      <c r="AO279" s="399"/>
      <c r="AP279" s="399"/>
    </row>
    <row r="280" spans="1:42" hidden="1" x14ac:dyDescent="0.25">
      <c r="M280" s="355"/>
      <c r="N280" s="355"/>
      <c r="O280" s="355"/>
      <c r="P280" s="355"/>
      <c r="Q280" s="355"/>
      <c r="R280" s="355"/>
      <c r="S280" s="355"/>
      <c r="T280" s="355"/>
      <c r="U280" s="355"/>
      <c r="V280" s="355"/>
      <c r="W280" s="355"/>
      <c r="X280" s="355"/>
      <c r="Y280" s="355"/>
      <c r="Z280" s="355"/>
      <c r="AA280" s="355"/>
      <c r="AB280" s="355"/>
      <c r="AC280" s="355"/>
      <c r="AD280" s="355"/>
      <c r="AE280" s="355"/>
      <c r="AF280" s="355"/>
      <c r="AG280" s="355"/>
      <c r="AH280" s="355"/>
      <c r="AI280" s="355"/>
      <c r="AJ280" s="219"/>
      <c r="AK280" s="219"/>
      <c r="AL280" s="219"/>
      <c r="AM280" s="399"/>
      <c r="AN280" s="399"/>
      <c r="AO280" s="399"/>
      <c r="AP280" s="399"/>
    </row>
    <row r="281" spans="1:42" ht="28.5" hidden="1" x14ac:dyDescent="0.25">
      <c r="A281" s="67" t="s">
        <v>455</v>
      </c>
      <c r="B281" s="67"/>
      <c r="C281" s="67"/>
      <c r="D281" s="67"/>
      <c r="E281" s="67"/>
      <c r="F281" s="67"/>
      <c r="G281" s="67"/>
      <c r="H281" s="67"/>
      <c r="I281" s="67"/>
      <c r="J281" s="67"/>
      <c r="K281" s="7"/>
      <c r="L281" s="25"/>
      <c r="M281" s="354"/>
      <c r="N281" s="354"/>
      <c r="O281" s="355"/>
      <c r="P281" s="355"/>
      <c r="Q281" s="355"/>
      <c r="R281" s="355"/>
      <c r="S281" s="355"/>
      <c r="T281" s="355"/>
      <c r="U281" s="355"/>
      <c r="V281" s="355"/>
      <c r="W281" s="355"/>
      <c r="X281" s="355"/>
      <c r="Y281" s="355"/>
      <c r="Z281" s="355"/>
      <c r="AA281" s="354"/>
      <c r="AB281" s="355"/>
      <c r="AC281" s="355"/>
      <c r="AD281" s="355"/>
      <c r="AE281" s="354"/>
      <c r="AF281" s="354"/>
      <c r="AG281" s="354"/>
      <c r="AH281" s="354"/>
      <c r="AI281" s="354"/>
      <c r="AJ281" s="219"/>
      <c r="AK281" s="364"/>
      <c r="AL281" s="219"/>
      <c r="AM281" s="399"/>
      <c r="AN281" s="399"/>
      <c r="AO281" s="399"/>
      <c r="AP281" s="399"/>
    </row>
    <row r="282" spans="1:42" hidden="1" x14ac:dyDescent="0.25">
      <c r="A282" s="368" t="s">
        <v>0</v>
      </c>
      <c r="B282" s="369"/>
      <c r="C282" s="368" t="s">
        <v>165</v>
      </c>
      <c r="D282" s="71"/>
      <c r="E282" s="72"/>
      <c r="F282" s="139" t="s">
        <v>385</v>
      </c>
      <c r="G282" s="382" t="s">
        <v>508</v>
      </c>
      <c r="H282" s="103" t="s">
        <v>3</v>
      </c>
      <c r="I282" s="103" t="s">
        <v>4</v>
      </c>
      <c r="J282" s="380" t="s">
        <v>666</v>
      </c>
      <c r="K282" s="380" t="s">
        <v>5</v>
      </c>
      <c r="L282" s="25"/>
      <c r="M282" s="357" t="s">
        <v>2</v>
      </c>
      <c r="N282" s="357"/>
      <c r="O282" s="355"/>
      <c r="P282" s="355"/>
      <c r="Q282" s="355"/>
      <c r="R282" s="355"/>
      <c r="S282" s="355"/>
      <c r="T282" s="355"/>
      <c r="U282" s="355"/>
      <c r="V282" s="355"/>
      <c r="W282" s="355"/>
      <c r="X282" s="355"/>
      <c r="Y282" s="355"/>
      <c r="Z282" s="355"/>
      <c r="AA282" s="355"/>
      <c r="AB282" s="355"/>
      <c r="AC282" s="355"/>
      <c r="AD282" s="355"/>
      <c r="AE282" s="355"/>
      <c r="AF282" s="355"/>
      <c r="AG282" s="355"/>
      <c r="AH282" s="355"/>
      <c r="AI282" s="355"/>
      <c r="AJ282" s="219"/>
      <c r="AK282" s="219"/>
      <c r="AL282" s="219"/>
      <c r="AM282" s="399"/>
      <c r="AN282" s="399"/>
      <c r="AO282" s="399"/>
      <c r="AP282" s="399"/>
    </row>
    <row r="283" spans="1:42" hidden="1" x14ac:dyDescent="0.25">
      <c r="A283" s="370"/>
      <c r="B283" s="371"/>
      <c r="C283" s="370"/>
      <c r="D283" s="74"/>
      <c r="E283" s="75"/>
      <c r="F283" s="140" t="s">
        <v>386</v>
      </c>
      <c r="G283" s="383"/>
      <c r="H283" s="104" t="s">
        <v>8</v>
      </c>
      <c r="I283" s="104" t="s">
        <v>9</v>
      </c>
      <c r="J283" s="381"/>
      <c r="K283" s="381"/>
      <c r="L283" s="25"/>
      <c r="M283" s="357" t="s">
        <v>7</v>
      </c>
      <c r="N283" s="357"/>
      <c r="O283" s="355"/>
      <c r="P283" s="355"/>
      <c r="Q283" s="355"/>
      <c r="R283" s="355"/>
      <c r="S283" s="355"/>
      <c r="T283" s="355"/>
      <c r="U283" s="355"/>
      <c r="V283" s="355"/>
      <c r="W283" s="355"/>
      <c r="X283" s="355"/>
      <c r="Y283" s="355"/>
      <c r="Z283" s="355"/>
      <c r="AA283" s="355"/>
      <c r="AB283" s="355"/>
      <c r="AC283" s="355"/>
      <c r="AD283" s="355"/>
      <c r="AE283" s="355"/>
      <c r="AF283" s="355"/>
      <c r="AG283" s="355"/>
      <c r="AH283" s="355"/>
      <c r="AI283" s="355"/>
      <c r="AJ283" s="219"/>
      <c r="AK283" s="219"/>
      <c r="AL283" s="219"/>
      <c r="AM283" s="399"/>
      <c r="AN283" s="399"/>
      <c r="AO283" s="399"/>
      <c r="AP283" s="399"/>
    </row>
    <row r="284" spans="1:42" hidden="1" x14ac:dyDescent="0.25">
      <c r="A284" s="336"/>
      <c r="B284" s="48" t="s">
        <v>210</v>
      </c>
      <c r="C284" s="95" t="s">
        <v>435</v>
      </c>
      <c r="D284" s="56"/>
      <c r="E284" s="23" t="s">
        <v>241</v>
      </c>
      <c r="F284" s="180" t="s">
        <v>30</v>
      </c>
      <c r="G284" s="176">
        <v>8718226851383</v>
      </c>
      <c r="H284" s="13">
        <v>1</v>
      </c>
      <c r="I284" s="13">
        <v>1</v>
      </c>
      <c r="J284" s="199" t="s">
        <v>518</v>
      </c>
      <c r="K284" s="5">
        <v>4</v>
      </c>
      <c r="L284" s="25"/>
      <c r="M284" s="357" t="s">
        <v>30</v>
      </c>
      <c r="N284" s="357" t="s">
        <v>929</v>
      </c>
      <c r="O284" s="355"/>
      <c r="P284" s="355">
        <v>0.16</v>
      </c>
      <c r="Q284" s="355"/>
      <c r="R284" s="355">
        <v>30</v>
      </c>
      <c r="S284" s="355" t="s">
        <v>589</v>
      </c>
      <c r="T284" s="355" t="s">
        <v>604</v>
      </c>
      <c r="U284" s="355">
        <f t="shared" ref="U284:U291" si="61">A284</f>
        <v>0</v>
      </c>
      <c r="V284" s="355"/>
      <c r="W284" s="355"/>
      <c r="X284" s="355"/>
      <c r="Y284" s="355"/>
      <c r="Z284" s="355"/>
      <c r="AA284" s="355"/>
      <c r="AB284" s="355"/>
      <c r="AC284" s="355"/>
      <c r="AD284" s="355"/>
      <c r="AE284" s="355"/>
      <c r="AF284" s="355"/>
      <c r="AG284" s="355"/>
      <c r="AH284" s="355"/>
      <c r="AI284" s="355"/>
      <c r="AJ284" s="219"/>
      <c r="AK284" s="219"/>
      <c r="AL284" s="219"/>
      <c r="AM284" s="399"/>
      <c r="AN284" s="399"/>
      <c r="AO284" s="399"/>
      <c r="AP284" s="399"/>
    </row>
    <row r="285" spans="1:42" hidden="1" x14ac:dyDescent="0.25">
      <c r="A285" s="336"/>
      <c r="B285" s="48" t="s">
        <v>210</v>
      </c>
      <c r="C285" s="95" t="s">
        <v>457</v>
      </c>
      <c r="D285" s="75"/>
      <c r="E285" s="65" t="s">
        <v>248</v>
      </c>
      <c r="F285" s="180" t="s">
        <v>30</v>
      </c>
      <c r="G285" s="176">
        <v>8713469579629</v>
      </c>
      <c r="H285" s="13">
        <v>1</v>
      </c>
      <c r="I285" s="13">
        <v>1</v>
      </c>
      <c r="J285" s="171" t="s">
        <v>458</v>
      </c>
      <c r="K285" s="5">
        <v>4</v>
      </c>
      <c r="L285" s="25"/>
      <c r="M285" s="357" t="s">
        <v>30</v>
      </c>
      <c r="N285" s="357" t="s">
        <v>930</v>
      </c>
      <c r="O285" s="355"/>
      <c r="P285" s="355">
        <v>0.16</v>
      </c>
      <c r="Q285" s="355"/>
      <c r="R285" s="355">
        <v>30</v>
      </c>
      <c r="S285" s="355" t="s">
        <v>589</v>
      </c>
      <c r="T285" s="355" t="s">
        <v>604</v>
      </c>
      <c r="U285" s="355">
        <f t="shared" si="61"/>
        <v>0</v>
      </c>
      <c r="V285" s="355"/>
      <c r="W285" s="360" t="str">
        <f>IF(U285=0,"",COUNTIF(W$27:W284,"&gt;0")+1)</f>
        <v/>
      </c>
      <c r="X285" s="360" t="str">
        <f>IF(U285=0,"",COUNTIF(X$27:X284,"&gt;0")+1)</f>
        <v/>
      </c>
      <c r="Y285" s="355"/>
      <c r="Z285" s="355"/>
      <c r="AA285" s="355"/>
      <c r="AB285" s="355"/>
      <c r="AC285" s="355"/>
      <c r="AD285" s="355"/>
      <c r="AE285" s="355"/>
      <c r="AF285" s="355"/>
      <c r="AG285" s="355"/>
      <c r="AH285" s="355"/>
      <c r="AI285" s="355"/>
      <c r="AJ285" s="219"/>
      <c r="AK285" s="219"/>
      <c r="AL285" s="219"/>
      <c r="AM285" s="399"/>
      <c r="AN285" s="399"/>
      <c r="AO285" s="399"/>
      <c r="AP285" s="399"/>
    </row>
    <row r="286" spans="1:42" hidden="1" x14ac:dyDescent="0.25">
      <c r="A286" s="330"/>
      <c r="B286" s="48" t="s">
        <v>210</v>
      </c>
      <c r="C286" s="88" t="s">
        <v>240</v>
      </c>
      <c r="D286" s="55"/>
      <c r="E286" s="23" t="s">
        <v>241</v>
      </c>
      <c r="F286" s="180" t="s">
        <v>440</v>
      </c>
      <c r="G286" s="176">
        <v>8719743713505</v>
      </c>
      <c r="H286" s="13">
        <v>1</v>
      </c>
      <c r="I286" s="13">
        <v>1</v>
      </c>
      <c r="J286" s="15" t="s">
        <v>514</v>
      </c>
      <c r="K286" s="5">
        <v>4</v>
      </c>
      <c r="L286" s="25"/>
      <c r="M286" s="357" t="s">
        <v>30</v>
      </c>
      <c r="N286" s="357" t="s">
        <v>919</v>
      </c>
      <c r="O286" s="355"/>
      <c r="P286" s="355">
        <v>0.16</v>
      </c>
      <c r="Q286" s="355"/>
      <c r="R286" s="355">
        <v>30</v>
      </c>
      <c r="S286" s="355" t="s">
        <v>589</v>
      </c>
      <c r="T286" s="355" t="s">
        <v>604</v>
      </c>
      <c r="U286" s="355">
        <f t="shared" si="61"/>
        <v>0</v>
      </c>
      <c r="V286" s="355"/>
      <c r="W286" s="360" t="str">
        <f>IF(U286=0,"",COUNTIF(W$27:W285,"&gt;0")+1)</f>
        <v/>
      </c>
      <c r="X286" s="360" t="str">
        <f>IF(U286=0,"",COUNTIF(X$27:X285,"&gt;0")+1)</f>
        <v/>
      </c>
      <c r="Y286" s="355"/>
      <c r="Z286" s="355"/>
      <c r="AA286" s="355"/>
      <c r="AB286" s="355"/>
      <c r="AC286" s="355"/>
      <c r="AD286" s="355"/>
      <c r="AE286" s="355"/>
      <c r="AF286" s="355"/>
      <c r="AG286" s="355"/>
      <c r="AH286" s="355"/>
      <c r="AI286" s="355"/>
      <c r="AJ286" s="219"/>
      <c r="AK286" s="219"/>
      <c r="AL286" s="219"/>
      <c r="AM286" s="399"/>
      <c r="AN286" s="399"/>
      <c r="AO286" s="399"/>
      <c r="AP286" s="399"/>
    </row>
    <row r="287" spans="1:42" hidden="1" x14ac:dyDescent="0.25">
      <c r="A287" s="330"/>
      <c r="B287" s="48" t="s">
        <v>210</v>
      </c>
      <c r="C287" s="88" t="s">
        <v>243</v>
      </c>
      <c r="D287" s="55"/>
      <c r="E287" s="64" t="s">
        <v>244</v>
      </c>
      <c r="F287" s="180" t="s">
        <v>440</v>
      </c>
      <c r="G287" s="176">
        <v>8719743713512</v>
      </c>
      <c r="H287" s="13">
        <v>1</v>
      </c>
      <c r="I287" s="13">
        <v>1</v>
      </c>
      <c r="J287" s="15" t="s">
        <v>514</v>
      </c>
      <c r="K287" s="5">
        <v>4</v>
      </c>
      <c r="L287" s="25"/>
      <c r="M287" s="357" t="s">
        <v>30</v>
      </c>
      <c r="N287" s="357" t="s">
        <v>920</v>
      </c>
      <c r="O287" s="355"/>
      <c r="P287" s="355">
        <v>0.16</v>
      </c>
      <c r="Q287" s="355"/>
      <c r="R287" s="355">
        <v>30</v>
      </c>
      <c r="S287" s="355" t="s">
        <v>589</v>
      </c>
      <c r="T287" s="355" t="s">
        <v>604</v>
      </c>
      <c r="U287" s="355">
        <f t="shared" si="61"/>
        <v>0</v>
      </c>
      <c r="V287" s="355"/>
      <c r="W287" s="360" t="str">
        <f>IF(U287=0,"",COUNTIF(W$27:W286,"&gt;0")+1)</f>
        <v/>
      </c>
      <c r="X287" s="360" t="str">
        <f>IF(U287=0,"",COUNTIF(X$27:X286,"&gt;0")+1)</f>
        <v/>
      </c>
      <c r="Y287" s="355"/>
      <c r="Z287" s="355"/>
      <c r="AA287" s="355"/>
      <c r="AB287" s="355"/>
      <c r="AC287" s="355"/>
      <c r="AD287" s="355"/>
      <c r="AE287" s="355"/>
      <c r="AF287" s="355"/>
      <c r="AG287" s="355"/>
      <c r="AH287" s="355"/>
      <c r="AI287" s="355"/>
      <c r="AJ287" s="219"/>
      <c r="AK287" s="219"/>
      <c r="AL287" s="219"/>
      <c r="AM287" s="399"/>
      <c r="AN287" s="399"/>
      <c r="AO287" s="399"/>
      <c r="AP287" s="399"/>
    </row>
    <row r="288" spans="1:42" hidden="1" x14ac:dyDescent="0.25">
      <c r="A288" s="330"/>
      <c r="B288" s="48" t="s">
        <v>210</v>
      </c>
      <c r="C288" s="88" t="s">
        <v>245</v>
      </c>
      <c r="D288" s="55"/>
      <c r="E288" s="63" t="s">
        <v>246</v>
      </c>
      <c r="F288" s="180" t="s">
        <v>440</v>
      </c>
      <c r="G288" s="176">
        <v>8719743713529</v>
      </c>
      <c r="H288" s="13">
        <v>1</v>
      </c>
      <c r="I288" s="13">
        <v>1</v>
      </c>
      <c r="J288" s="15" t="s">
        <v>514</v>
      </c>
      <c r="K288" s="5">
        <v>4</v>
      </c>
      <c r="L288" s="25"/>
      <c r="M288" s="357" t="s">
        <v>30</v>
      </c>
      <c r="N288" s="357" t="s">
        <v>921</v>
      </c>
      <c r="O288" s="355"/>
      <c r="P288" s="355">
        <v>0.16</v>
      </c>
      <c r="Q288" s="355"/>
      <c r="R288" s="355">
        <v>30</v>
      </c>
      <c r="S288" s="355" t="s">
        <v>589</v>
      </c>
      <c r="T288" s="355" t="s">
        <v>604</v>
      </c>
      <c r="U288" s="355">
        <f t="shared" si="61"/>
        <v>0</v>
      </c>
      <c r="V288" s="355"/>
      <c r="W288" s="360" t="str">
        <f>IF(U288=0,"",COUNTIF(W$27:W287,"&gt;0")+1)</f>
        <v/>
      </c>
      <c r="X288" s="360" t="str">
        <f>IF(U288=0,"",COUNTIF(X$27:X287,"&gt;0")+1)</f>
        <v/>
      </c>
      <c r="Y288" s="355"/>
      <c r="Z288" s="355"/>
      <c r="AA288" s="355"/>
      <c r="AB288" s="355"/>
      <c r="AC288" s="355"/>
      <c r="AD288" s="355"/>
      <c r="AE288" s="355"/>
      <c r="AF288" s="355"/>
      <c r="AG288" s="355"/>
      <c r="AH288" s="355"/>
      <c r="AI288" s="355"/>
      <c r="AJ288" s="219"/>
      <c r="AK288" s="219"/>
      <c r="AL288" s="219"/>
      <c r="AM288" s="399"/>
      <c r="AN288" s="399"/>
      <c r="AO288" s="399"/>
      <c r="AP288" s="399"/>
    </row>
    <row r="289" spans="1:42" hidden="1" x14ac:dyDescent="0.25">
      <c r="A289" s="330"/>
      <c r="B289" s="48" t="s">
        <v>210</v>
      </c>
      <c r="C289" s="88" t="s">
        <v>247</v>
      </c>
      <c r="D289" s="55"/>
      <c r="E289" s="65" t="s">
        <v>248</v>
      </c>
      <c r="F289" s="180" t="s">
        <v>440</v>
      </c>
      <c r="G289" s="176" t="s">
        <v>507</v>
      </c>
      <c r="H289" s="13">
        <v>1</v>
      </c>
      <c r="I289" s="13">
        <v>1</v>
      </c>
      <c r="J289" s="15" t="s">
        <v>514</v>
      </c>
      <c r="K289" s="5">
        <v>4</v>
      </c>
      <c r="L289" s="25"/>
      <c r="M289" s="357" t="s">
        <v>30</v>
      </c>
      <c r="N289" s="357" t="s">
        <v>922</v>
      </c>
      <c r="O289" s="355"/>
      <c r="P289" s="355">
        <v>0.16</v>
      </c>
      <c r="Q289" s="355"/>
      <c r="R289" s="355">
        <v>30</v>
      </c>
      <c r="S289" s="355" t="s">
        <v>589</v>
      </c>
      <c r="T289" s="355" t="s">
        <v>604</v>
      </c>
      <c r="U289" s="355">
        <f t="shared" si="61"/>
        <v>0</v>
      </c>
      <c r="V289" s="355"/>
      <c r="W289" s="360" t="str">
        <f>IF(U289=0,"",COUNTIF(W$27:W288,"&gt;0")+1)</f>
        <v/>
      </c>
      <c r="X289" s="360" t="str">
        <f>IF(U289=0,"",COUNTIF(X$27:X288,"&gt;0")+1)</f>
        <v/>
      </c>
      <c r="Y289" s="355"/>
      <c r="Z289" s="355"/>
      <c r="AA289" s="355"/>
      <c r="AB289" s="355"/>
      <c r="AC289" s="355"/>
      <c r="AD289" s="355"/>
      <c r="AE289" s="355"/>
      <c r="AF289" s="355"/>
      <c r="AG289" s="355"/>
      <c r="AH289" s="355"/>
      <c r="AI289" s="355"/>
      <c r="AJ289" s="219"/>
      <c r="AK289" s="219"/>
      <c r="AL289" s="219"/>
      <c r="AM289" s="399"/>
      <c r="AN289" s="399"/>
      <c r="AO289" s="399"/>
      <c r="AP289" s="399"/>
    </row>
    <row r="290" spans="1:42" hidden="1" x14ac:dyDescent="0.25">
      <c r="A290" s="330"/>
      <c r="B290" s="48" t="s">
        <v>210</v>
      </c>
      <c r="C290" s="89" t="s">
        <v>255</v>
      </c>
      <c r="D290" s="54"/>
      <c r="E290" s="66" t="s">
        <v>249</v>
      </c>
      <c r="F290" s="180" t="s">
        <v>440</v>
      </c>
      <c r="G290" s="176">
        <v>8719743713543</v>
      </c>
      <c r="H290" s="13">
        <v>1</v>
      </c>
      <c r="I290" s="13">
        <v>1</v>
      </c>
      <c r="J290" s="15" t="s">
        <v>514</v>
      </c>
      <c r="K290" s="5">
        <v>4</v>
      </c>
      <c r="L290" s="25"/>
      <c r="M290" s="357" t="s">
        <v>30</v>
      </c>
      <c r="N290" s="357" t="s">
        <v>923</v>
      </c>
      <c r="O290" s="355"/>
      <c r="P290" s="355">
        <v>0.16</v>
      </c>
      <c r="Q290" s="355"/>
      <c r="R290" s="355">
        <v>30</v>
      </c>
      <c r="S290" s="355" t="s">
        <v>589</v>
      </c>
      <c r="T290" s="355" t="s">
        <v>604</v>
      </c>
      <c r="U290" s="355">
        <f t="shared" si="61"/>
        <v>0</v>
      </c>
      <c r="V290" s="355"/>
      <c r="W290" s="360" t="str">
        <f>IF(U290=0,"",COUNTIF(W$27:W289,"&gt;0")+1)</f>
        <v/>
      </c>
      <c r="X290" s="360" t="str">
        <f>IF(U290=0,"",COUNTIF(X$27:X289,"&gt;0")+1)</f>
        <v/>
      </c>
      <c r="Y290" s="355"/>
      <c r="Z290" s="355"/>
      <c r="AA290" s="355"/>
      <c r="AB290" s="355"/>
      <c r="AC290" s="355"/>
      <c r="AD290" s="355"/>
      <c r="AE290" s="355"/>
      <c r="AF290" s="355"/>
      <c r="AG290" s="355"/>
      <c r="AH290" s="355"/>
      <c r="AI290" s="355"/>
      <c r="AJ290" s="219"/>
      <c r="AK290" s="219"/>
      <c r="AL290" s="219"/>
      <c r="AM290" s="399"/>
      <c r="AN290" s="399"/>
      <c r="AO290" s="399"/>
      <c r="AP290" s="399"/>
    </row>
    <row r="291" spans="1:42" hidden="1" x14ac:dyDescent="0.25">
      <c r="A291" s="59">
        <f>SUM(A284:A290)</f>
        <v>0</v>
      </c>
      <c r="B291" s="48" t="s">
        <v>210</v>
      </c>
      <c r="C291" s="4" t="s">
        <v>164</v>
      </c>
      <c r="M291" s="355"/>
      <c r="N291" s="355"/>
      <c r="O291" s="355"/>
      <c r="P291" s="355"/>
      <c r="Q291" s="355"/>
      <c r="R291" s="355"/>
      <c r="S291" s="355" t="s">
        <v>589</v>
      </c>
      <c r="T291" s="355"/>
      <c r="U291" s="355">
        <f t="shared" si="61"/>
        <v>0</v>
      </c>
      <c r="V291" s="355"/>
      <c r="W291" s="360" t="str">
        <f>IF(U291=0,"",COUNTIF(W$27:W290,"&gt;0")+1)</f>
        <v/>
      </c>
      <c r="X291" s="355"/>
      <c r="Y291" s="355"/>
      <c r="Z291" s="355"/>
      <c r="AA291" s="355"/>
      <c r="AB291" s="355"/>
      <c r="AC291" s="355"/>
      <c r="AD291" s="355"/>
      <c r="AE291" s="355"/>
      <c r="AF291" s="355"/>
      <c r="AG291" s="355"/>
      <c r="AH291" s="355"/>
      <c r="AI291" s="355"/>
      <c r="AJ291" s="219"/>
      <c r="AK291" s="219"/>
      <c r="AL291" s="219"/>
      <c r="AM291" s="399"/>
      <c r="AN291" s="399"/>
      <c r="AO291" s="399"/>
      <c r="AP291" s="399"/>
    </row>
    <row r="292" spans="1:42" ht="19.5" hidden="1" customHeight="1" x14ac:dyDescent="0.25">
      <c r="M292" s="355"/>
      <c r="N292" s="355"/>
      <c r="O292" s="355"/>
      <c r="P292" s="355"/>
      <c r="Q292" s="355"/>
      <c r="R292" s="355"/>
      <c r="S292" s="355"/>
      <c r="T292" s="355"/>
      <c r="U292" s="355"/>
      <c r="V292" s="355"/>
      <c r="W292" s="355"/>
      <c r="X292" s="355"/>
      <c r="Y292" s="355"/>
      <c r="Z292" s="355"/>
      <c r="AA292" s="355"/>
      <c r="AB292" s="355"/>
      <c r="AC292" s="355"/>
      <c r="AD292" s="355"/>
      <c r="AE292" s="355"/>
      <c r="AF292" s="355"/>
      <c r="AG292" s="355"/>
      <c r="AH292" s="355"/>
      <c r="AI292" s="355"/>
      <c r="AJ292" s="219"/>
      <c r="AK292" s="219"/>
      <c r="AL292" s="219"/>
      <c r="AM292" s="399"/>
      <c r="AN292" s="399"/>
      <c r="AO292" s="399"/>
      <c r="AP292" s="399"/>
    </row>
    <row r="293" spans="1:42" ht="28.5" hidden="1" x14ac:dyDescent="0.25">
      <c r="A293" s="68" t="s">
        <v>456</v>
      </c>
      <c r="B293" s="68"/>
      <c r="C293" s="68"/>
      <c r="D293" s="68"/>
      <c r="E293" s="68"/>
      <c r="F293" s="68"/>
      <c r="G293" s="68"/>
      <c r="H293" s="68"/>
      <c r="I293" s="68"/>
      <c r="J293" s="68"/>
      <c r="K293" s="7"/>
      <c r="M293" s="354"/>
      <c r="N293" s="354"/>
      <c r="O293" s="355"/>
      <c r="P293" s="355"/>
      <c r="Q293" s="355"/>
      <c r="R293" s="355"/>
      <c r="S293" s="355"/>
      <c r="T293" s="355"/>
      <c r="U293" s="355"/>
      <c r="V293" s="355"/>
      <c r="W293" s="355"/>
      <c r="X293" s="355"/>
      <c r="Y293" s="355"/>
      <c r="Z293" s="355"/>
      <c r="AA293" s="355"/>
      <c r="AB293" s="355"/>
      <c r="AC293" s="355"/>
      <c r="AD293" s="355"/>
      <c r="AE293" s="355"/>
      <c r="AF293" s="355"/>
      <c r="AG293" s="355"/>
      <c r="AH293" s="355"/>
      <c r="AI293" s="355"/>
      <c r="AJ293" s="219"/>
      <c r="AK293" s="219"/>
      <c r="AL293" s="219"/>
      <c r="AM293" s="399"/>
      <c r="AN293" s="399"/>
      <c r="AO293" s="399"/>
      <c r="AP293" s="399"/>
    </row>
    <row r="294" spans="1:42" hidden="1" x14ac:dyDescent="0.25">
      <c r="A294" s="368" t="s">
        <v>0</v>
      </c>
      <c r="B294" s="369"/>
      <c r="C294" s="368" t="s">
        <v>165</v>
      </c>
      <c r="D294" s="71"/>
      <c r="E294" s="72"/>
      <c r="F294" s="139" t="s">
        <v>385</v>
      </c>
      <c r="G294" s="382" t="s">
        <v>508</v>
      </c>
      <c r="H294" s="103" t="s">
        <v>3</v>
      </c>
      <c r="I294" s="103" t="s">
        <v>4</v>
      </c>
      <c r="J294" s="380" t="s">
        <v>325</v>
      </c>
      <c r="K294" s="208" t="s">
        <v>5</v>
      </c>
      <c r="M294" s="357" t="s">
        <v>2</v>
      </c>
      <c r="N294" s="357"/>
      <c r="O294" s="355"/>
      <c r="P294" s="355"/>
      <c r="Q294" s="355"/>
      <c r="R294" s="355"/>
      <c r="S294" s="355"/>
      <c r="T294" s="355"/>
      <c r="U294" s="355"/>
      <c r="V294" s="355"/>
      <c r="W294" s="355"/>
      <c r="X294" s="355"/>
      <c r="Y294" s="355"/>
      <c r="Z294" s="355"/>
      <c r="AA294" s="355"/>
      <c r="AB294" s="355"/>
      <c r="AC294" s="355"/>
      <c r="AD294" s="355"/>
      <c r="AE294" s="355"/>
      <c r="AF294" s="355"/>
      <c r="AG294" s="355"/>
      <c r="AH294" s="355"/>
      <c r="AI294" s="355"/>
      <c r="AJ294" s="219"/>
      <c r="AK294" s="219"/>
      <c r="AL294" s="219"/>
      <c r="AM294" s="399"/>
      <c r="AN294" s="399"/>
      <c r="AO294" s="399"/>
      <c r="AP294" s="399"/>
    </row>
    <row r="295" spans="1:42" hidden="1" x14ac:dyDescent="0.25">
      <c r="A295" s="370"/>
      <c r="B295" s="371"/>
      <c r="C295" s="370"/>
      <c r="D295" s="74"/>
      <c r="E295" s="75"/>
      <c r="F295" s="140" t="s">
        <v>386</v>
      </c>
      <c r="G295" s="383"/>
      <c r="H295" s="104" t="s">
        <v>8</v>
      </c>
      <c r="I295" s="104" t="s">
        <v>9</v>
      </c>
      <c r="J295" s="381"/>
      <c r="K295" s="174"/>
      <c r="M295" s="357" t="s">
        <v>7</v>
      </c>
      <c r="N295" s="357"/>
      <c r="O295" s="355"/>
      <c r="P295" s="355"/>
      <c r="Q295" s="355"/>
      <c r="R295" s="355"/>
      <c r="S295" s="355"/>
      <c r="T295" s="355"/>
      <c r="U295" s="355"/>
      <c r="V295" s="355"/>
      <c r="W295" s="355"/>
      <c r="X295" s="355"/>
      <c r="Y295" s="355"/>
      <c r="Z295" s="355"/>
      <c r="AA295" s="355"/>
      <c r="AB295" s="355"/>
      <c r="AC295" s="355"/>
      <c r="AD295" s="355"/>
      <c r="AE295" s="355"/>
      <c r="AF295" s="355"/>
      <c r="AG295" s="355"/>
      <c r="AH295" s="355"/>
      <c r="AI295" s="355"/>
      <c r="AJ295" s="219"/>
      <c r="AK295" s="219"/>
      <c r="AL295" s="219"/>
      <c r="AM295" s="399"/>
      <c r="AN295" s="399"/>
      <c r="AO295" s="399"/>
      <c r="AP295" s="399"/>
    </row>
    <row r="296" spans="1:42" hidden="1" x14ac:dyDescent="0.25">
      <c r="A296" s="330"/>
      <c r="B296" s="48" t="s">
        <v>210</v>
      </c>
      <c r="C296" s="88" t="s">
        <v>240</v>
      </c>
      <c r="D296" s="55"/>
      <c r="E296" s="23" t="s">
        <v>241</v>
      </c>
      <c r="F296" s="180" t="s">
        <v>440</v>
      </c>
      <c r="G296" s="176">
        <v>8719743713550</v>
      </c>
      <c r="H296" s="13">
        <v>1</v>
      </c>
      <c r="I296" s="13">
        <v>1</v>
      </c>
      <c r="J296" s="15" t="s">
        <v>517</v>
      </c>
      <c r="K296" s="5">
        <v>4</v>
      </c>
      <c r="M296" s="357" t="s">
        <v>30</v>
      </c>
      <c r="N296" s="357" t="s">
        <v>924</v>
      </c>
      <c r="O296" s="355"/>
      <c r="P296" s="355">
        <v>0.16</v>
      </c>
      <c r="Q296" s="355"/>
      <c r="R296" s="355">
        <v>30</v>
      </c>
      <c r="S296" s="355" t="s">
        <v>590</v>
      </c>
      <c r="T296" s="355" t="s">
        <v>604</v>
      </c>
      <c r="U296" s="355">
        <f t="shared" ref="U296:U302" si="62">A296</f>
        <v>0</v>
      </c>
      <c r="V296" s="355"/>
      <c r="W296" s="360" t="str">
        <f>IF(U296=0,"",COUNTIF(W$27:W295,"&gt;0")+1)</f>
        <v/>
      </c>
      <c r="X296" s="360" t="str">
        <f>IF(U296=0,"",COUNTIF(X$27:X295,"&gt;0")+1)</f>
        <v/>
      </c>
      <c r="Y296" s="355"/>
      <c r="Z296" s="355"/>
      <c r="AA296" s="355"/>
      <c r="AB296" s="355"/>
      <c r="AC296" s="355"/>
      <c r="AD296" s="355"/>
      <c r="AE296" s="355"/>
      <c r="AF296" s="355"/>
      <c r="AG296" s="355"/>
      <c r="AH296" s="355"/>
      <c r="AI296" s="355"/>
      <c r="AJ296" s="219"/>
      <c r="AK296" s="219"/>
      <c r="AL296" s="219"/>
      <c r="AM296" s="399"/>
      <c r="AN296" s="399"/>
      <c r="AO296" s="399"/>
      <c r="AP296" s="399"/>
    </row>
    <row r="297" spans="1:42" hidden="1" x14ac:dyDescent="0.25">
      <c r="A297" s="330"/>
      <c r="B297" s="48" t="s">
        <v>210</v>
      </c>
      <c r="C297" s="88" t="s">
        <v>243</v>
      </c>
      <c r="D297" s="55"/>
      <c r="E297" s="64" t="s">
        <v>244</v>
      </c>
      <c r="F297" s="180" t="s">
        <v>440</v>
      </c>
      <c r="G297" s="176">
        <v>8719743713567</v>
      </c>
      <c r="H297" s="13">
        <v>1</v>
      </c>
      <c r="I297" s="13">
        <v>1</v>
      </c>
      <c r="J297" s="15" t="s">
        <v>517</v>
      </c>
      <c r="K297" s="5">
        <v>4</v>
      </c>
      <c r="M297" s="357" t="s">
        <v>30</v>
      </c>
      <c r="N297" s="357" t="s">
        <v>925</v>
      </c>
      <c r="O297" s="355"/>
      <c r="P297" s="355">
        <v>0.16</v>
      </c>
      <c r="Q297" s="355"/>
      <c r="R297" s="355">
        <v>30</v>
      </c>
      <c r="S297" s="355" t="s">
        <v>590</v>
      </c>
      <c r="T297" s="355" t="s">
        <v>604</v>
      </c>
      <c r="U297" s="355">
        <f t="shared" si="62"/>
        <v>0</v>
      </c>
      <c r="V297" s="355"/>
      <c r="W297" s="360" t="str">
        <f>IF(U297=0,"",COUNTIF(W$27:W296,"&gt;0")+1)</f>
        <v/>
      </c>
      <c r="X297" s="360" t="str">
        <f>IF(U297=0,"",COUNTIF(X$27:X296,"&gt;0")+1)</f>
        <v/>
      </c>
      <c r="Y297" s="355"/>
      <c r="Z297" s="355"/>
      <c r="AA297" s="355"/>
      <c r="AB297" s="355"/>
      <c r="AC297" s="355"/>
      <c r="AD297" s="355"/>
      <c r="AE297" s="355"/>
      <c r="AF297" s="355"/>
      <c r="AG297" s="355"/>
      <c r="AH297" s="355"/>
      <c r="AI297" s="355"/>
      <c r="AJ297" s="219"/>
      <c r="AK297" s="219"/>
      <c r="AL297" s="219"/>
      <c r="AM297" s="399"/>
      <c r="AN297" s="399"/>
      <c r="AO297" s="399"/>
      <c r="AP297" s="399"/>
    </row>
    <row r="298" spans="1:42" hidden="1" x14ac:dyDescent="0.25">
      <c r="A298" s="330"/>
      <c r="B298" s="48" t="s">
        <v>210</v>
      </c>
      <c r="C298" s="88" t="s">
        <v>245</v>
      </c>
      <c r="D298" s="55"/>
      <c r="E298" s="63" t="s">
        <v>246</v>
      </c>
      <c r="F298" s="180" t="s">
        <v>440</v>
      </c>
      <c r="G298" s="176">
        <v>8719743713574</v>
      </c>
      <c r="H298" s="13">
        <v>1</v>
      </c>
      <c r="I298" s="13">
        <v>1</v>
      </c>
      <c r="J298" s="15" t="s">
        <v>517</v>
      </c>
      <c r="K298" s="5">
        <v>4</v>
      </c>
      <c r="M298" s="357" t="s">
        <v>30</v>
      </c>
      <c r="N298" s="357" t="s">
        <v>926</v>
      </c>
      <c r="O298" s="355"/>
      <c r="P298" s="355">
        <v>0.16</v>
      </c>
      <c r="Q298" s="355"/>
      <c r="R298" s="355">
        <v>30</v>
      </c>
      <c r="S298" s="355" t="s">
        <v>590</v>
      </c>
      <c r="T298" s="355" t="s">
        <v>604</v>
      </c>
      <c r="U298" s="355">
        <f t="shared" si="62"/>
        <v>0</v>
      </c>
      <c r="V298" s="355"/>
      <c r="W298" s="360" t="str">
        <f>IF(U298=0,"",COUNTIF(W$27:W297,"&gt;0")+1)</f>
        <v/>
      </c>
      <c r="X298" s="360" t="str">
        <f>IF(U298=0,"",COUNTIF(X$27:X297,"&gt;0")+1)</f>
        <v/>
      </c>
      <c r="Y298" s="355"/>
      <c r="Z298" s="355"/>
      <c r="AA298" s="355"/>
      <c r="AB298" s="355"/>
      <c r="AC298" s="355"/>
      <c r="AD298" s="355"/>
      <c r="AE298" s="355"/>
      <c r="AF298" s="355"/>
      <c r="AG298" s="355"/>
      <c r="AH298" s="355"/>
      <c r="AI298" s="355"/>
      <c r="AJ298" s="219"/>
      <c r="AK298" s="219"/>
      <c r="AL298" s="219"/>
      <c r="AM298" s="399"/>
      <c r="AN298" s="399"/>
      <c r="AO298" s="399"/>
      <c r="AP298" s="399"/>
    </row>
    <row r="299" spans="1:42" hidden="1" x14ac:dyDescent="0.25">
      <c r="A299" s="330"/>
      <c r="B299" s="48" t="s">
        <v>210</v>
      </c>
      <c r="C299" s="88" t="s">
        <v>247</v>
      </c>
      <c r="D299" s="55"/>
      <c r="E299" s="65" t="s">
        <v>248</v>
      </c>
      <c r="F299" s="180" t="s">
        <v>440</v>
      </c>
      <c r="G299" s="176">
        <v>8719743713581</v>
      </c>
      <c r="H299" s="13">
        <v>1</v>
      </c>
      <c r="I299" s="13">
        <v>1</v>
      </c>
      <c r="J299" s="15" t="s">
        <v>517</v>
      </c>
      <c r="K299" s="5">
        <v>4</v>
      </c>
      <c r="M299" s="357" t="s">
        <v>30</v>
      </c>
      <c r="N299" s="357" t="s">
        <v>927</v>
      </c>
      <c r="O299" s="355"/>
      <c r="P299" s="355">
        <v>0.16</v>
      </c>
      <c r="Q299" s="355"/>
      <c r="R299" s="355">
        <v>30</v>
      </c>
      <c r="S299" s="355" t="s">
        <v>590</v>
      </c>
      <c r="T299" s="355" t="s">
        <v>604</v>
      </c>
      <c r="U299" s="355">
        <f t="shared" si="62"/>
        <v>0</v>
      </c>
      <c r="V299" s="355"/>
      <c r="W299" s="360" t="str">
        <f>IF(U299=0,"",COUNTIF(W$27:W298,"&gt;0")+1)</f>
        <v/>
      </c>
      <c r="X299" s="360" t="str">
        <f>IF(U299=0,"",COUNTIF(X$27:X298,"&gt;0")+1)</f>
        <v/>
      </c>
      <c r="Y299" s="355"/>
      <c r="Z299" s="355"/>
      <c r="AA299" s="355"/>
      <c r="AB299" s="355"/>
      <c r="AC299" s="355"/>
      <c r="AD299" s="355"/>
      <c r="AE299" s="355"/>
      <c r="AF299" s="355"/>
      <c r="AG299" s="355"/>
      <c r="AH299" s="355"/>
      <c r="AI299" s="355"/>
      <c r="AJ299" s="219"/>
      <c r="AK299" s="219"/>
      <c r="AL299" s="219"/>
      <c r="AM299" s="399"/>
      <c r="AN299" s="399"/>
      <c r="AO299" s="399"/>
      <c r="AP299" s="399"/>
    </row>
    <row r="300" spans="1:42" ht="16.5" hidden="1" customHeight="1" x14ac:dyDescent="0.25">
      <c r="A300" s="330"/>
      <c r="B300" s="48" t="s">
        <v>210</v>
      </c>
      <c r="C300" s="89" t="s">
        <v>255</v>
      </c>
      <c r="D300" s="54"/>
      <c r="E300" s="66" t="s">
        <v>249</v>
      </c>
      <c r="F300" s="180" t="s">
        <v>440</v>
      </c>
      <c r="G300" s="176">
        <v>8719743713598</v>
      </c>
      <c r="H300" s="13">
        <v>1</v>
      </c>
      <c r="I300" s="13">
        <v>1</v>
      </c>
      <c r="J300" s="15" t="s">
        <v>517</v>
      </c>
      <c r="K300" s="5">
        <v>4</v>
      </c>
      <c r="M300" s="357" t="s">
        <v>30</v>
      </c>
      <c r="N300" s="357" t="s">
        <v>928</v>
      </c>
      <c r="O300" s="355"/>
      <c r="P300" s="355">
        <v>0.16</v>
      </c>
      <c r="Q300" s="355"/>
      <c r="R300" s="355">
        <v>30</v>
      </c>
      <c r="S300" s="355" t="s">
        <v>590</v>
      </c>
      <c r="T300" s="355" t="s">
        <v>604</v>
      </c>
      <c r="U300" s="355">
        <f t="shared" si="62"/>
        <v>0</v>
      </c>
      <c r="V300" s="355"/>
      <c r="W300" s="360" t="str">
        <f>IF(U300=0,"",COUNTIF(W$27:W299,"&gt;0")+1)</f>
        <v/>
      </c>
      <c r="X300" s="360" t="str">
        <f>IF(U300=0,"",COUNTIF(X$27:X299,"&gt;0")+1)</f>
        <v/>
      </c>
      <c r="Y300" s="355"/>
      <c r="Z300" s="355"/>
      <c r="AA300" s="355"/>
      <c r="AB300" s="355"/>
      <c r="AC300" s="355"/>
      <c r="AD300" s="355"/>
      <c r="AE300" s="355"/>
      <c r="AF300" s="355"/>
      <c r="AG300" s="355"/>
      <c r="AH300" s="355"/>
      <c r="AI300" s="355"/>
      <c r="AJ300" s="219"/>
      <c r="AK300" s="219"/>
      <c r="AL300" s="219"/>
      <c r="AM300" s="399"/>
      <c r="AN300" s="399"/>
      <c r="AO300" s="399"/>
      <c r="AP300" s="399"/>
    </row>
    <row r="301" spans="1:42" hidden="1" x14ac:dyDescent="0.25">
      <c r="A301" s="330"/>
      <c r="B301" s="48" t="s">
        <v>210</v>
      </c>
      <c r="C301" s="134" t="s">
        <v>459</v>
      </c>
      <c r="D301" s="55"/>
      <c r="E301" s="129" t="s">
        <v>436</v>
      </c>
      <c r="F301" s="180" t="s">
        <v>30</v>
      </c>
      <c r="G301" s="176">
        <v>8718226851024</v>
      </c>
      <c r="H301" s="13">
        <v>1</v>
      </c>
      <c r="I301" s="13">
        <v>1</v>
      </c>
      <c r="J301" s="15" t="s">
        <v>516</v>
      </c>
      <c r="K301" s="5">
        <v>4</v>
      </c>
      <c r="L301" s="25"/>
      <c r="M301" s="357" t="s">
        <v>30</v>
      </c>
      <c r="N301" s="357" t="s">
        <v>931</v>
      </c>
      <c r="O301" s="355"/>
      <c r="P301" s="355">
        <v>0.16</v>
      </c>
      <c r="Q301" s="355"/>
      <c r="R301" s="355">
        <v>30</v>
      </c>
      <c r="S301" s="355" t="s">
        <v>590</v>
      </c>
      <c r="T301" s="355" t="s">
        <v>604</v>
      </c>
      <c r="U301" s="355">
        <f t="shared" si="62"/>
        <v>0</v>
      </c>
      <c r="V301" s="355"/>
      <c r="W301" s="360" t="str">
        <f>IF(U301=0,"",COUNTIF(W$27:W300,"&gt;0")+1)</f>
        <v/>
      </c>
      <c r="X301" s="360" t="str">
        <f>IF(U301=0,"",COUNTIF(X$27:X300,"&gt;0")+1)</f>
        <v/>
      </c>
      <c r="Y301" s="355"/>
      <c r="Z301" s="355"/>
      <c r="AA301" s="355"/>
      <c r="AB301" s="355"/>
      <c r="AC301" s="355"/>
      <c r="AD301" s="355"/>
      <c r="AE301" s="355"/>
      <c r="AF301" s="355"/>
      <c r="AG301" s="355"/>
      <c r="AH301" s="355"/>
      <c r="AI301" s="355"/>
      <c r="AJ301" s="219"/>
      <c r="AK301" s="219"/>
      <c r="AL301" s="219"/>
      <c r="AM301" s="399"/>
      <c r="AN301" s="399"/>
      <c r="AO301" s="399"/>
      <c r="AP301" s="399"/>
    </row>
    <row r="302" spans="1:42" hidden="1" x14ac:dyDescent="0.25">
      <c r="A302" s="59">
        <f>SUM(A296:A301)</f>
        <v>0</v>
      </c>
      <c r="B302" s="48" t="s">
        <v>210</v>
      </c>
      <c r="C302" s="4" t="s">
        <v>164</v>
      </c>
      <c r="D302" s="30"/>
      <c r="E302" s="172"/>
      <c r="F302" s="185"/>
      <c r="G302" s="144"/>
      <c r="H302" s="3"/>
      <c r="I302" s="3"/>
      <c r="J302" s="6"/>
      <c r="K302" s="7"/>
      <c r="L302" s="25"/>
      <c r="M302" s="357"/>
      <c r="N302" s="357"/>
      <c r="O302" s="355"/>
      <c r="P302" s="355"/>
      <c r="Q302" s="355"/>
      <c r="R302" s="355"/>
      <c r="S302" s="355" t="s">
        <v>590</v>
      </c>
      <c r="T302" s="355"/>
      <c r="U302" s="355">
        <f t="shared" si="62"/>
        <v>0</v>
      </c>
      <c r="V302" s="355"/>
      <c r="W302" s="360" t="str">
        <f>IF(U302=0,"",COUNTIF(W$27:W301,"&gt;0")+1)</f>
        <v/>
      </c>
      <c r="X302" s="355"/>
      <c r="Y302" s="355"/>
      <c r="Z302" s="355"/>
      <c r="AA302" s="355"/>
      <c r="AB302" s="355"/>
      <c r="AC302" s="355"/>
      <c r="AD302" s="355"/>
      <c r="AE302" s="355"/>
      <c r="AF302" s="355"/>
      <c r="AG302" s="355"/>
      <c r="AH302" s="355"/>
      <c r="AI302" s="355"/>
      <c r="AJ302" s="219"/>
      <c r="AK302" s="219"/>
      <c r="AL302" s="219"/>
      <c r="AM302" s="399"/>
      <c r="AN302" s="399"/>
      <c r="AO302" s="399"/>
      <c r="AP302" s="399"/>
    </row>
    <row r="303" spans="1:42" hidden="1" x14ac:dyDescent="0.25">
      <c r="A303" s="60"/>
      <c r="B303" s="21"/>
      <c r="C303" s="4"/>
      <c r="D303" s="30"/>
      <c r="E303" s="172"/>
      <c r="F303" s="185"/>
      <c r="G303" s="144"/>
      <c r="H303" s="3"/>
      <c r="I303" s="3"/>
      <c r="J303" s="6"/>
      <c r="K303" s="7"/>
      <c r="L303" s="25"/>
      <c r="M303" s="357"/>
      <c r="N303" s="357"/>
      <c r="O303" s="355"/>
      <c r="P303" s="355"/>
      <c r="Q303" s="355"/>
      <c r="R303" s="355"/>
      <c r="S303" s="355"/>
      <c r="T303" s="355"/>
      <c r="U303" s="355"/>
      <c r="V303" s="355"/>
      <c r="W303" s="360"/>
      <c r="X303" s="355"/>
      <c r="Y303" s="355"/>
      <c r="Z303" s="355"/>
      <c r="AA303" s="355"/>
      <c r="AB303" s="355"/>
      <c r="AC303" s="355"/>
      <c r="AD303" s="355"/>
      <c r="AE303" s="355"/>
      <c r="AF303" s="355"/>
      <c r="AG303" s="355"/>
      <c r="AH303" s="355"/>
      <c r="AI303" s="355"/>
      <c r="AJ303" s="219"/>
      <c r="AK303" s="219"/>
      <c r="AL303" s="219"/>
      <c r="AM303" s="399"/>
      <c r="AN303" s="399"/>
      <c r="AO303" s="399"/>
      <c r="AP303" s="399"/>
    </row>
    <row r="304" spans="1:42" ht="28.5" hidden="1" x14ac:dyDescent="0.25">
      <c r="A304" s="67" t="s">
        <v>449</v>
      </c>
      <c r="B304" s="67"/>
      <c r="C304" s="67"/>
      <c r="D304" s="67"/>
      <c r="E304" s="67"/>
      <c r="F304" s="67"/>
      <c r="G304" s="67"/>
      <c r="H304" s="67"/>
      <c r="I304" s="67"/>
      <c r="J304" s="6"/>
      <c r="K304" s="7"/>
      <c r="L304" s="25"/>
      <c r="M304" s="354"/>
      <c r="N304" s="354"/>
      <c r="O304" s="355"/>
      <c r="P304" s="355"/>
      <c r="Q304" s="355"/>
      <c r="R304" s="355"/>
      <c r="S304" s="355"/>
      <c r="T304" s="355"/>
      <c r="U304" s="355"/>
      <c r="V304" s="355"/>
      <c r="W304" s="355"/>
      <c r="X304" s="355"/>
      <c r="Y304" s="355"/>
      <c r="Z304" s="355"/>
      <c r="AA304" s="355"/>
      <c r="AB304" s="355"/>
      <c r="AC304" s="355"/>
      <c r="AD304" s="355"/>
      <c r="AE304" s="355"/>
      <c r="AF304" s="355"/>
      <c r="AG304" s="355"/>
      <c r="AH304" s="355"/>
      <c r="AI304" s="355"/>
      <c r="AJ304" s="219"/>
      <c r="AK304" s="219"/>
      <c r="AL304" s="219"/>
      <c r="AM304" s="399"/>
      <c r="AN304" s="399"/>
      <c r="AO304" s="399"/>
      <c r="AP304" s="399"/>
    </row>
    <row r="305" spans="1:42" hidden="1" x14ac:dyDescent="0.25">
      <c r="A305" s="368" t="s">
        <v>0</v>
      </c>
      <c r="B305" s="369"/>
      <c r="C305" s="368" t="s">
        <v>165</v>
      </c>
      <c r="D305" s="71"/>
      <c r="E305" s="72"/>
      <c r="F305" s="139" t="s">
        <v>385</v>
      </c>
      <c r="G305" s="382" t="s">
        <v>508</v>
      </c>
      <c r="H305" s="103" t="s">
        <v>3</v>
      </c>
      <c r="I305" s="103" t="s">
        <v>4</v>
      </c>
      <c r="J305" s="380" t="s">
        <v>330</v>
      </c>
      <c r="K305" s="380" t="s">
        <v>5</v>
      </c>
      <c r="L305" s="380" t="s">
        <v>6</v>
      </c>
      <c r="M305" s="356" t="s">
        <v>2</v>
      </c>
      <c r="N305" s="357"/>
      <c r="O305" s="355"/>
      <c r="P305" s="355"/>
      <c r="Q305" s="355"/>
      <c r="R305" s="355"/>
      <c r="S305" s="355"/>
      <c r="T305" s="355"/>
      <c r="U305" s="355"/>
      <c r="V305" s="355"/>
      <c r="W305" s="355"/>
      <c r="X305" s="355"/>
      <c r="Y305" s="355"/>
      <c r="Z305" s="355"/>
      <c r="AA305" s="355"/>
      <c r="AB305" s="355"/>
      <c r="AC305" s="355"/>
      <c r="AD305" s="355"/>
      <c r="AE305" s="355"/>
      <c r="AF305" s="355"/>
      <c r="AG305" s="355"/>
      <c r="AH305" s="355"/>
      <c r="AI305" s="355"/>
      <c r="AJ305" s="219"/>
      <c r="AK305" s="219"/>
      <c r="AL305" s="219"/>
      <c r="AM305" s="399"/>
      <c r="AN305" s="399"/>
      <c r="AO305" s="399"/>
      <c r="AP305" s="399"/>
    </row>
    <row r="306" spans="1:42" hidden="1" x14ac:dyDescent="0.25">
      <c r="A306" s="370"/>
      <c r="B306" s="371"/>
      <c r="C306" s="370"/>
      <c r="D306" s="74"/>
      <c r="E306" s="75"/>
      <c r="F306" s="140" t="s">
        <v>386</v>
      </c>
      <c r="G306" s="383"/>
      <c r="H306" s="104" t="s">
        <v>8</v>
      </c>
      <c r="I306" s="104" t="s">
        <v>9</v>
      </c>
      <c r="J306" s="381"/>
      <c r="K306" s="381"/>
      <c r="L306" s="381"/>
      <c r="M306" s="356" t="s">
        <v>7</v>
      </c>
      <c r="N306" s="357"/>
      <c r="O306" s="355"/>
      <c r="P306" s="355"/>
      <c r="Q306" s="355"/>
      <c r="R306" s="355"/>
      <c r="S306" s="355"/>
      <c r="T306" s="355"/>
      <c r="U306" s="355"/>
      <c r="V306" s="355"/>
      <c r="W306" s="355"/>
      <c r="X306" s="355"/>
      <c r="Y306" s="355"/>
      <c r="Z306" s="355"/>
      <c r="AA306" s="355"/>
      <c r="AB306" s="355"/>
      <c r="AC306" s="355"/>
      <c r="AD306" s="355"/>
      <c r="AE306" s="355"/>
      <c r="AF306" s="355"/>
      <c r="AG306" s="355"/>
      <c r="AH306" s="355"/>
      <c r="AI306" s="355"/>
      <c r="AJ306" s="219"/>
      <c r="AK306" s="219"/>
      <c r="AL306" s="219"/>
      <c r="AM306" s="399"/>
      <c r="AN306" s="399"/>
      <c r="AO306" s="399"/>
      <c r="AP306" s="399"/>
    </row>
    <row r="307" spans="1:42" hidden="1" x14ac:dyDescent="0.25">
      <c r="A307" s="338"/>
      <c r="B307" s="57" t="s">
        <v>260</v>
      </c>
      <c r="C307" s="111" t="s">
        <v>257</v>
      </c>
      <c r="D307" s="91"/>
      <c r="E307" s="86" t="s">
        <v>258</v>
      </c>
      <c r="F307" s="180" t="s">
        <v>388</v>
      </c>
      <c r="G307" s="176">
        <v>8718226851925</v>
      </c>
      <c r="H307" s="13">
        <v>1</v>
      </c>
      <c r="I307" s="13">
        <v>1</v>
      </c>
      <c r="J307" s="12" t="s">
        <v>259</v>
      </c>
      <c r="K307" s="5">
        <v>4</v>
      </c>
      <c r="L307" s="215" t="s">
        <v>23</v>
      </c>
      <c r="M307" s="356" t="s">
        <v>30</v>
      </c>
      <c r="N307" s="355" t="s">
        <v>933</v>
      </c>
      <c r="O307" s="355"/>
      <c r="P307" s="355">
        <v>0.2</v>
      </c>
      <c r="Q307" s="355"/>
      <c r="R307" s="355">
        <v>25</v>
      </c>
      <c r="S307" s="355" t="s">
        <v>591</v>
      </c>
      <c r="T307" s="355" t="s">
        <v>615</v>
      </c>
      <c r="U307" s="355">
        <f>A307</f>
        <v>0</v>
      </c>
      <c r="V307" s="355"/>
      <c r="W307" s="360" t="str">
        <f>IF(U307=0,"",COUNTIF(W$27:W306,"&gt;0")+1)</f>
        <v/>
      </c>
      <c r="X307" s="360" t="str">
        <f>IF(U307=0,"",COUNTIF(X$27:X306,"&gt;0")+1)</f>
        <v/>
      </c>
      <c r="Y307" s="355"/>
      <c r="Z307" s="355"/>
      <c r="AA307" s="355"/>
      <c r="AB307" s="355"/>
      <c r="AC307" s="355"/>
      <c r="AD307" s="355"/>
      <c r="AE307" s="355"/>
      <c r="AF307" s="355"/>
      <c r="AG307" s="355"/>
      <c r="AH307" s="355"/>
      <c r="AI307" s="355"/>
      <c r="AJ307" s="219"/>
      <c r="AK307" s="219"/>
      <c r="AL307" s="219"/>
      <c r="AM307" s="399"/>
      <c r="AN307" s="399"/>
      <c r="AO307" s="399"/>
      <c r="AP307" s="399"/>
    </row>
    <row r="308" spans="1:42" hidden="1" x14ac:dyDescent="0.25">
      <c r="A308" s="338"/>
      <c r="B308" s="57" t="s">
        <v>260</v>
      </c>
      <c r="C308" s="111" t="s">
        <v>261</v>
      </c>
      <c r="D308" s="91"/>
      <c r="E308" s="86" t="s">
        <v>262</v>
      </c>
      <c r="F308" s="180" t="s">
        <v>388</v>
      </c>
      <c r="G308" s="176">
        <v>8718226851932</v>
      </c>
      <c r="H308" s="13">
        <v>1</v>
      </c>
      <c r="I308" s="13">
        <v>1</v>
      </c>
      <c r="J308" s="12" t="s">
        <v>259</v>
      </c>
      <c r="K308" s="5">
        <v>4</v>
      </c>
      <c r="L308" s="215"/>
      <c r="M308" s="356" t="s">
        <v>30</v>
      </c>
      <c r="N308" s="355" t="s">
        <v>934</v>
      </c>
      <c r="O308" s="355"/>
      <c r="P308" s="355">
        <v>0.2</v>
      </c>
      <c r="Q308" s="355"/>
      <c r="R308" s="355">
        <v>25</v>
      </c>
      <c r="S308" s="355" t="s">
        <v>591</v>
      </c>
      <c r="T308" s="355" t="s">
        <v>615</v>
      </c>
      <c r="U308" s="355">
        <f>A308</f>
        <v>0</v>
      </c>
      <c r="V308" s="355"/>
      <c r="W308" s="360" t="str">
        <f>IF(U308=0,"",COUNTIF(W$27:W307,"&gt;0")+1)</f>
        <v/>
      </c>
      <c r="X308" s="360" t="str">
        <f>IF(U308=0,"",COUNTIF(X$27:X307,"&gt;0")+1)</f>
        <v/>
      </c>
      <c r="Y308" s="355"/>
      <c r="Z308" s="355"/>
      <c r="AA308" s="355"/>
      <c r="AB308" s="355"/>
      <c r="AC308" s="355"/>
      <c r="AD308" s="355"/>
      <c r="AE308" s="355"/>
      <c r="AF308" s="355"/>
      <c r="AG308" s="355"/>
      <c r="AH308" s="355"/>
      <c r="AI308" s="355"/>
      <c r="AJ308" s="219"/>
      <c r="AK308" s="219"/>
      <c r="AL308" s="219"/>
      <c r="AM308" s="399"/>
      <c r="AN308" s="399"/>
      <c r="AO308" s="399"/>
      <c r="AP308" s="399"/>
    </row>
    <row r="309" spans="1:42" hidden="1" x14ac:dyDescent="0.25">
      <c r="A309" s="61">
        <f>A307+A308</f>
        <v>0</v>
      </c>
      <c r="B309" s="57" t="s">
        <v>260</v>
      </c>
      <c r="C309" s="31" t="s">
        <v>164</v>
      </c>
      <c r="D309" s="31"/>
      <c r="E309" s="38"/>
      <c r="F309" s="194"/>
      <c r="G309" s="38"/>
      <c r="H309" s="32"/>
      <c r="I309" s="8"/>
      <c r="J309" s="33"/>
      <c r="K309" s="7"/>
      <c r="L309" s="34"/>
      <c r="M309" s="363"/>
      <c r="N309" s="363"/>
      <c r="O309" s="355"/>
      <c r="P309" s="355"/>
      <c r="Q309" s="355"/>
      <c r="R309" s="355"/>
      <c r="S309" s="355" t="s">
        <v>591</v>
      </c>
      <c r="T309" s="355"/>
      <c r="U309" s="355">
        <f>A309</f>
        <v>0</v>
      </c>
      <c r="V309" s="355"/>
      <c r="W309" s="360" t="str">
        <f>IF(U309=0,"",COUNTIF(W$27:W308,"&gt;0")+1)</f>
        <v/>
      </c>
      <c r="X309" s="355"/>
      <c r="Y309" s="355"/>
      <c r="Z309" s="355"/>
      <c r="AA309" s="355"/>
      <c r="AB309" s="355"/>
      <c r="AC309" s="355"/>
      <c r="AD309" s="355"/>
      <c r="AE309" s="355"/>
      <c r="AF309" s="355"/>
      <c r="AG309" s="355"/>
      <c r="AH309" s="355"/>
      <c r="AI309" s="355"/>
      <c r="AJ309" s="219"/>
      <c r="AK309" s="219"/>
      <c r="AL309" s="219"/>
      <c r="AM309" s="399"/>
      <c r="AN309" s="399"/>
      <c r="AO309" s="399"/>
      <c r="AP309" s="399"/>
    </row>
    <row r="310" spans="1:42" hidden="1" x14ac:dyDescent="0.25">
      <c r="A310" s="62"/>
      <c r="B310" s="8"/>
      <c r="C310" s="31"/>
      <c r="D310" s="31"/>
      <c r="E310" s="38"/>
      <c r="F310" s="194"/>
      <c r="G310" s="38"/>
      <c r="H310" s="32"/>
      <c r="I310" s="8"/>
      <c r="K310" s="7"/>
      <c r="L310" s="34"/>
      <c r="M310" s="363"/>
      <c r="N310" s="363"/>
      <c r="O310" s="355"/>
      <c r="P310" s="355"/>
      <c r="Q310" s="355"/>
      <c r="R310" s="355"/>
      <c r="S310" s="355"/>
      <c r="T310" s="355"/>
      <c r="U310" s="355"/>
      <c r="V310" s="355"/>
      <c r="W310" s="355"/>
      <c r="X310" s="355"/>
      <c r="Y310" s="355"/>
      <c r="Z310" s="355"/>
      <c r="AA310" s="355"/>
      <c r="AB310" s="355"/>
      <c r="AC310" s="355"/>
      <c r="AD310" s="355"/>
      <c r="AE310" s="355"/>
      <c r="AF310" s="355"/>
      <c r="AG310" s="355"/>
      <c r="AH310" s="355"/>
      <c r="AI310" s="355"/>
      <c r="AJ310" s="219"/>
      <c r="AK310" s="219"/>
      <c r="AL310" s="219"/>
      <c r="AM310" s="399"/>
      <c r="AN310" s="399"/>
      <c r="AO310" s="399"/>
      <c r="AP310" s="399"/>
    </row>
    <row r="311" spans="1:42" ht="28.5" hidden="1" x14ac:dyDescent="0.25">
      <c r="A311" s="67" t="s">
        <v>448</v>
      </c>
      <c r="B311" s="67"/>
      <c r="C311" s="67"/>
      <c r="D311" s="67"/>
      <c r="E311" s="67"/>
      <c r="F311" s="67"/>
      <c r="G311" s="67"/>
      <c r="H311" s="67"/>
      <c r="I311" s="67"/>
      <c r="J311" s="33"/>
      <c r="K311" s="7"/>
      <c r="L311" s="34"/>
      <c r="M311" s="354"/>
      <c r="N311" s="354"/>
      <c r="O311" s="355"/>
      <c r="P311" s="355"/>
      <c r="Q311" s="355"/>
      <c r="R311" s="355"/>
      <c r="S311" s="355"/>
      <c r="T311" s="355"/>
      <c r="U311" s="355"/>
      <c r="V311" s="355"/>
      <c r="W311" s="355"/>
      <c r="X311" s="355"/>
      <c r="Y311" s="355"/>
      <c r="Z311" s="355"/>
      <c r="AA311" s="355"/>
      <c r="AB311" s="355"/>
      <c r="AC311" s="355"/>
      <c r="AD311" s="355"/>
      <c r="AE311" s="355"/>
      <c r="AF311" s="355"/>
      <c r="AG311" s="355"/>
      <c r="AH311" s="355"/>
      <c r="AI311" s="355"/>
      <c r="AJ311" s="219"/>
      <c r="AK311" s="219"/>
      <c r="AL311" s="219"/>
      <c r="AM311" s="399"/>
      <c r="AN311" s="399"/>
      <c r="AO311" s="399"/>
      <c r="AP311" s="399"/>
    </row>
    <row r="312" spans="1:42" hidden="1" x14ac:dyDescent="0.25">
      <c r="A312" s="368" t="s">
        <v>0</v>
      </c>
      <c r="B312" s="369"/>
      <c r="C312" s="368" t="s">
        <v>165</v>
      </c>
      <c r="D312" s="71"/>
      <c r="E312" s="72"/>
      <c r="F312" s="139" t="s">
        <v>385</v>
      </c>
      <c r="G312" s="382" t="s">
        <v>508</v>
      </c>
      <c r="H312" s="103" t="s">
        <v>3</v>
      </c>
      <c r="I312" s="103" t="s">
        <v>4</v>
      </c>
      <c r="J312" s="380" t="s">
        <v>331</v>
      </c>
      <c r="K312" s="380" t="s">
        <v>5</v>
      </c>
      <c r="L312" s="380" t="s">
        <v>6</v>
      </c>
      <c r="M312" s="356" t="s">
        <v>2</v>
      </c>
      <c r="N312" s="357"/>
      <c r="O312" s="355"/>
      <c r="P312" s="355"/>
      <c r="Q312" s="355"/>
      <c r="R312" s="355"/>
      <c r="S312" s="355"/>
      <c r="T312" s="355"/>
      <c r="U312" s="355"/>
      <c r="V312" s="355"/>
      <c r="W312" s="355"/>
      <c r="X312" s="355"/>
      <c r="Y312" s="355"/>
      <c r="Z312" s="355"/>
      <c r="AA312" s="355"/>
      <c r="AB312" s="355"/>
      <c r="AC312" s="355"/>
      <c r="AD312" s="355"/>
      <c r="AE312" s="355"/>
      <c r="AF312" s="355"/>
      <c r="AG312" s="355"/>
      <c r="AH312" s="355"/>
      <c r="AI312" s="355"/>
      <c r="AJ312" s="219"/>
      <c r="AK312" s="219"/>
      <c r="AL312" s="219"/>
      <c r="AM312" s="399"/>
      <c r="AN312" s="399"/>
      <c r="AO312" s="399"/>
      <c r="AP312" s="399"/>
    </row>
    <row r="313" spans="1:42" hidden="1" x14ac:dyDescent="0.25">
      <c r="A313" s="370"/>
      <c r="B313" s="371"/>
      <c r="C313" s="370"/>
      <c r="D313" s="74"/>
      <c r="E313" s="75"/>
      <c r="F313" s="140" t="s">
        <v>386</v>
      </c>
      <c r="G313" s="383"/>
      <c r="H313" s="104" t="s">
        <v>8</v>
      </c>
      <c r="I313" s="104" t="s">
        <v>9</v>
      </c>
      <c r="J313" s="381"/>
      <c r="K313" s="381"/>
      <c r="L313" s="381"/>
      <c r="M313" s="356" t="s">
        <v>7</v>
      </c>
      <c r="N313" s="357"/>
      <c r="O313" s="355"/>
      <c r="P313" s="355"/>
      <c r="Q313" s="355"/>
      <c r="R313" s="355"/>
      <c r="S313" s="355"/>
      <c r="T313" s="355"/>
      <c r="U313" s="355"/>
      <c r="V313" s="355"/>
      <c r="W313" s="355"/>
      <c r="X313" s="355"/>
      <c r="Y313" s="355"/>
      <c r="Z313" s="355"/>
      <c r="AA313" s="355"/>
      <c r="AB313" s="355"/>
      <c r="AC313" s="355"/>
      <c r="AD313" s="355"/>
      <c r="AE313" s="355"/>
      <c r="AF313" s="355"/>
      <c r="AG313" s="355"/>
      <c r="AH313" s="355"/>
      <c r="AI313" s="355"/>
      <c r="AJ313" s="219"/>
      <c r="AK313" s="219"/>
      <c r="AL313" s="219"/>
      <c r="AM313" s="399"/>
      <c r="AN313" s="399"/>
      <c r="AO313" s="399"/>
      <c r="AP313" s="399"/>
    </row>
    <row r="314" spans="1:42" hidden="1" x14ac:dyDescent="0.25">
      <c r="A314" s="338"/>
      <c r="B314" s="127" t="s">
        <v>260</v>
      </c>
      <c r="C314" s="89" t="s">
        <v>442</v>
      </c>
      <c r="D314" s="91"/>
      <c r="E314" s="92" t="s">
        <v>450</v>
      </c>
      <c r="F314" s="195" t="s">
        <v>391</v>
      </c>
      <c r="G314" s="178">
        <v>8719743711235</v>
      </c>
      <c r="H314" s="18">
        <v>2</v>
      </c>
      <c r="I314" s="13">
        <v>1</v>
      </c>
      <c r="J314" s="12" t="s">
        <v>263</v>
      </c>
      <c r="K314" s="5">
        <v>4</v>
      </c>
      <c r="L314" s="215"/>
      <c r="M314" s="356" t="s">
        <v>30</v>
      </c>
      <c r="N314" s="355" t="s">
        <v>935</v>
      </c>
      <c r="O314" s="355"/>
      <c r="P314" s="355">
        <v>0.2</v>
      </c>
      <c r="Q314" s="355"/>
      <c r="R314" s="355">
        <v>25</v>
      </c>
      <c r="S314" s="355" t="s">
        <v>592</v>
      </c>
      <c r="T314" s="355" t="s">
        <v>615</v>
      </c>
      <c r="U314" s="355">
        <f t="shared" ref="U314:U322" si="63">A314</f>
        <v>0</v>
      </c>
      <c r="V314" s="355"/>
      <c r="W314" s="360" t="str">
        <f>IF(U314=0,"",COUNTIF(W$27:W313,"&gt;0")+1)</f>
        <v/>
      </c>
      <c r="X314" s="360" t="str">
        <f>IF(U314=0,"",COUNTIF(X$27:X313,"&gt;0")+1)</f>
        <v/>
      </c>
      <c r="Y314" s="355"/>
      <c r="Z314" s="355"/>
      <c r="AA314" s="355"/>
      <c r="AB314" s="355"/>
      <c r="AC314" s="355"/>
      <c r="AD314" s="355"/>
      <c r="AE314" s="355"/>
      <c r="AF314" s="355"/>
      <c r="AG314" s="355"/>
      <c r="AH314" s="355"/>
      <c r="AI314" s="355"/>
      <c r="AJ314" s="219"/>
      <c r="AK314" s="219"/>
      <c r="AL314" s="219"/>
      <c r="AM314" s="399"/>
      <c r="AN314" s="399"/>
      <c r="AO314" s="399"/>
      <c r="AP314" s="399"/>
    </row>
    <row r="315" spans="1:42" hidden="1" x14ac:dyDescent="0.25">
      <c r="A315" s="338"/>
      <c r="B315" s="127" t="s">
        <v>260</v>
      </c>
      <c r="C315" s="89" t="s">
        <v>265</v>
      </c>
      <c r="D315" s="91"/>
      <c r="E315" s="92" t="s">
        <v>266</v>
      </c>
      <c r="F315" s="195" t="s">
        <v>391</v>
      </c>
      <c r="G315" s="176">
        <v>8718226851840</v>
      </c>
      <c r="H315" s="18">
        <v>2</v>
      </c>
      <c r="I315" s="13">
        <v>1</v>
      </c>
      <c r="J315" s="12" t="s">
        <v>267</v>
      </c>
      <c r="K315" s="5">
        <v>4</v>
      </c>
      <c r="L315" s="215" t="s">
        <v>23</v>
      </c>
      <c r="M315" s="356" t="s">
        <v>30</v>
      </c>
      <c r="N315" s="355" t="s">
        <v>936</v>
      </c>
      <c r="O315" s="355"/>
      <c r="P315" s="355">
        <v>0.2</v>
      </c>
      <c r="Q315" s="355"/>
      <c r="R315" s="355">
        <v>25</v>
      </c>
      <c r="S315" s="355" t="s">
        <v>592</v>
      </c>
      <c r="T315" s="355" t="s">
        <v>615</v>
      </c>
      <c r="U315" s="355">
        <f t="shared" si="63"/>
        <v>0</v>
      </c>
      <c r="V315" s="355"/>
      <c r="W315" s="360" t="str">
        <f>IF(U315=0,"",COUNTIF(W$27:W314,"&gt;0")+1)</f>
        <v/>
      </c>
      <c r="X315" s="360" t="str">
        <f>IF(U315=0,"",COUNTIF(X$27:X314,"&gt;0")+1)</f>
        <v/>
      </c>
      <c r="Y315" s="355"/>
      <c r="Z315" s="355"/>
      <c r="AA315" s="355"/>
      <c r="AB315" s="355"/>
      <c r="AC315" s="355"/>
      <c r="AD315" s="355"/>
      <c r="AE315" s="355"/>
      <c r="AF315" s="355"/>
      <c r="AG315" s="355"/>
      <c r="AH315" s="355"/>
      <c r="AI315" s="355"/>
      <c r="AJ315" s="219"/>
      <c r="AK315" s="219"/>
      <c r="AL315" s="219"/>
      <c r="AM315" s="399"/>
      <c r="AN315" s="399"/>
      <c r="AO315" s="399"/>
      <c r="AP315" s="399"/>
    </row>
    <row r="316" spans="1:42" hidden="1" x14ac:dyDescent="0.25">
      <c r="A316" s="338"/>
      <c r="B316" s="127" t="s">
        <v>260</v>
      </c>
      <c r="C316" s="89" t="s">
        <v>268</v>
      </c>
      <c r="D316" s="91"/>
      <c r="E316" s="92" t="s">
        <v>332</v>
      </c>
      <c r="F316" s="195" t="s">
        <v>391</v>
      </c>
      <c r="G316" s="176">
        <v>8718226851833</v>
      </c>
      <c r="H316" s="18">
        <v>2</v>
      </c>
      <c r="I316" s="13">
        <v>1</v>
      </c>
      <c r="J316" s="12" t="s">
        <v>269</v>
      </c>
      <c r="K316" s="5">
        <v>4</v>
      </c>
      <c r="L316" s="215"/>
      <c r="M316" s="356" t="s">
        <v>30</v>
      </c>
      <c r="N316" s="355" t="s">
        <v>937</v>
      </c>
      <c r="O316" s="355"/>
      <c r="P316" s="355">
        <v>0.2</v>
      </c>
      <c r="Q316" s="355"/>
      <c r="R316" s="355">
        <v>25</v>
      </c>
      <c r="S316" s="355" t="s">
        <v>592</v>
      </c>
      <c r="T316" s="355" t="s">
        <v>615</v>
      </c>
      <c r="U316" s="355">
        <f t="shared" si="63"/>
        <v>0</v>
      </c>
      <c r="V316" s="355"/>
      <c r="W316" s="360" t="str">
        <f>IF(U316=0,"",COUNTIF(W$27:W315,"&gt;0")+1)</f>
        <v/>
      </c>
      <c r="X316" s="360" t="str">
        <f>IF(U316=0,"",COUNTIF(X$27:X315,"&gt;0")+1)</f>
        <v/>
      </c>
      <c r="Y316" s="355"/>
      <c r="Z316" s="355"/>
      <c r="AA316" s="355"/>
      <c r="AB316" s="355"/>
      <c r="AC316" s="355"/>
      <c r="AD316" s="355"/>
      <c r="AE316" s="355"/>
      <c r="AF316" s="355"/>
      <c r="AG316" s="355"/>
      <c r="AH316" s="355"/>
      <c r="AI316" s="355"/>
      <c r="AJ316" s="219"/>
      <c r="AK316" s="219"/>
      <c r="AL316" s="219"/>
      <c r="AM316" s="399"/>
      <c r="AN316" s="399"/>
      <c r="AO316" s="399"/>
      <c r="AP316" s="399"/>
    </row>
    <row r="317" spans="1:42" hidden="1" x14ac:dyDescent="0.25">
      <c r="A317" s="338"/>
      <c r="B317" s="127" t="s">
        <v>260</v>
      </c>
      <c r="C317" s="89" t="s">
        <v>443</v>
      </c>
      <c r="D317" s="91"/>
      <c r="E317" s="92" t="s">
        <v>452</v>
      </c>
      <c r="F317" s="195" t="s">
        <v>391</v>
      </c>
      <c r="G317" s="176">
        <v>8718226851857</v>
      </c>
      <c r="H317" s="13">
        <v>1</v>
      </c>
      <c r="I317" s="13">
        <v>1</v>
      </c>
      <c r="J317" s="15" t="s">
        <v>453</v>
      </c>
      <c r="K317" s="5">
        <v>4</v>
      </c>
      <c r="L317" s="215"/>
      <c r="M317" s="356" t="s">
        <v>30</v>
      </c>
      <c r="N317" s="355" t="s">
        <v>938</v>
      </c>
      <c r="O317" s="355"/>
      <c r="P317" s="355">
        <v>0.2</v>
      </c>
      <c r="Q317" s="355"/>
      <c r="R317" s="355">
        <v>25</v>
      </c>
      <c r="S317" s="355" t="s">
        <v>592</v>
      </c>
      <c r="T317" s="355" t="s">
        <v>615</v>
      </c>
      <c r="U317" s="355">
        <f t="shared" si="63"/>
        <v>0</v>
      </c>
      <c r="V317" s="355"/>
      <c r="W317" s="360" t="str">
        <f>IF(U317=0,"",COUNTIF(W$27:W316,"&gt;0")+1)</f>
        <v/>
      </c>
      <c r="X317" s="360" t="str">
        <f>IF(U317=0,"",COUNTIF(X$27:X316,"&gt;0")+1)</f>
        <v/>
      </c>
      <c r="Y317" s="355"/>
      <c r="Z317" s="355"/>
      <c r="AA317" s="355"/>
      <c r="AB317" s="355"/>
      <c r="AC317" s="355"/>
      <c r="AD317" s="355"/>
      <c r="AE317" s="355"/>
      <c r="AF317" s="355"/>
      <c r="AG317" s="355"/>
      <c r="AH317" s="355"/>
      <c r="AI317" s="355"/>
      <c r="AJ317" s="219"/>
      <c r="AK317" s="219"/>
      <c r="AL317" s="219"/>
      <c r="AM317" s="399"/>
      <c r="AN317" s="399"/>
      <c r="AO317" s="399"/>
      <c r="AP317" s="399"/>
    </row>
    <row r="318" spans="1:42" hidden="1" x14ac:dyDescent="0.25">
      <c r="A318" s="338"/>
      <c r="B318" s="127" t="s">
        <v>260</v>
      </c>
      <c r="C318" s="54" t="s">
        <v>444</v>
      </c>
      <c r="D318" s="91"/>
      <c r="E318" s="92" t="s">
        <v>264</v>
      </c>
      <c r="F318" s="195" t="s">
        <v>391</v>
      </c>
      <c r="G318" s="176">
        <v>8718226851864</v>
      </c>
      <c r="H318" s="13">
        <v>1</v>
      </c>
      <c r="I318" s="13">
        <v>1</v>
      </c>
      <c r="J318" s="12" t="s">
        <v>451</v>
      </c>
      <c r="K318" s="5">
        <v>4</v>
      </c>
      <c r="L318" s="215"/>
      <c r="M318" s="356" t="s">
        <v>30</v>
      </c>
      <c r="N318" s="355" t="s">
        <v>939</v>
      </c>
      <c r="O318" s="355"/>
      <c r="P318" s="355">
        <v>0.2</v>
      </c>
      <c r="Q318" s="355"/>
      <c r="R318" s="355">
        <v>25</v>
      </c>
      <c r="S318" s="355" t="s">
        <v>592</v>
      </c>
      <c r="T318" s="355" t="s">
        <v>615</v>
      </c>
      <c r="U318" s="355">
        <f t="shared" si="63"/>
        <v>0</v>
      </c>
      <c r="V318" s="355"/>
      <c r="W318" s="360" t="str">
        <f>IF(U318=0,"",COUNTIF(W$27:W317,"&gt;0")+1)</f>
        <v/>
      </c>
      <c r="X318" s="360" t="str">
        <f>IF(U318=0,"",COUNTIF(X$27:X317,"&gt;0")+1)</f>
        <v/>
      </c>
      <c r="Y318" s="355"/>
      <c r="Z318" s="355"/>
      <c r="AA318" s="355"/>
      <c r="AB318" s="355"/>
      <c r="AC318" s="355"/>
      <c r="AD318" s="355"/>
      <c r="AE318" s="355"/>
      <c r="AF318" s="355"/>
      <c r="AG318" s="355"/>
      <c r="AH318" s="355"/>
      <c r="AI318" s="355"/>
      <c r="AJ318" s="219"/>
      <c r="AK318" s="219"/>
      <c r="AL318" s="219"/>
      <c r="AM318" s="399"/>
      <c r="AN318" s="399"/>
      <c r="AO318" s="399"/>
      <c r="AP318" s="399"/>
    </row>
    <row r="319" spans="1:42" hidden="1" x14ac:dyDescent="0.25">
      <c r="A319" s="338"/>
      <c r="B319" s="127" t="s">
        <v>260</v>
      </c>
      <c r="C319" s="89" t="s">
        <v>270</v>
      </c>
      <c r="D319" s="91"/>
      <c r="E319" s="92" t="s">
        <v>271</v>
      </c>
      <c r="F319" s="195" t="s">
        <v>391</v>
      </c>
      <c r="G319" s="176">
        <v>8718226851888</v>
      </c>
      <c r="H319" s="13">
        <v>1</v>
      </c>
      <c r="I319" s="13">
        <v>1</v>
      </c>
      <c r="J319" s="17" t="s">
        <v>272</v>
      </c>
      <c r="K319" s="5">
        <v>4</v>
      </c>
      <c r="L319" s="215"/>
      <c r="M319" s="356" t="s">
        <v>30</v>
      </c>
      <c r="N319" s="355" t="s">
        <v>940</v>
      </c>
      <c r="O319" s="355"/>
      <c r="P319" s="355">
        <v>0.2</v>
      </c>
      <c r="Q319" s="355"/>
      <c r="R319" s="355">
        <v>25</v>
      </c>
      <c r="S319" s="355" t="s">
        <v>592</v>
      </c>
      <c r="T319" s="355" t="s">
        <v>615</v>
      </c>
      <c r="U319" s="355">
        <f t="shared" si="63"/>
        <v>0</v>
      </c>
      <c r="V319" s="355"/>
      <c r="W319" s="360" t="str">
        <f>IF(U319=0,"",COUNTIF(W$27:W318,"&gt;0")+1)</f>
        <v/>
      </c>
      <c r="X319" s="360" t="str">
        <f>IF(U319=0,"",COUNTIF(X$27:X318,"&gt;0")+1)</f>
        <v/>
      </c>
      <c r="Y319" s="355"/>
      <c r="Z319" s="355"/>
      <c r="AA319" s="355"/>
      <c r="AB319" s="355"/>
      <c r="AC319" s="355"/>
      <c r="AD319" s="355"/>
      <c r="AE319" s="355"/>
      <c r="AF319" s="355"/>
      <c r="AG319" s="355"/>
      <c r="AH319" s="355"/>
      <c r="AI319" s="355"/>
      <c r="AJ319" s="219"/>
      <c r="AK319" s="219"/>
      <c r="AL319" s="219"/>
      <c r="AM319" s="399"/>
      <c r="AN319" s="399"/>
      <c r="AO319" s="399"/>
      <c r="AP319" s="399"/>
    </row>
    <row r="320" spans="1:42" hidden="1" x14ac:dyDescent="0.25">
      <c r="A320" s="338"/>
      <c r="B320" s="127" t="s">
        <v>260</v>
      </c>
      <c r="C320" s="89" t="s">
        <v>273</v>
      </c>
      <c r="D320" s="91"/>
      <c r="E320" s="92" t="s">
        <v>274</v>
      </c>
      <c r="F320" s="195" t="s">
        <v>388</v>
      </c>
      <c r="G320" s="176">
        <v>8718226851949</v>
      </c>
      <c r="H320" s="18">
        <v>2</v>
      </c>
      <c r="I320" s="13">
        <v>1</v>
      </c>
      <c r="J320" s="16" t="s">
        <v>275</v>
      </c>
      <c r="K320" s="5">
        <v>4</v>
      </c>
      <c r="L320" s="215" t="s">
        <v>23</v>
      </c>
      <c r="M320" s="356" t="s">
        <v>30</v>
      </c>
      <c r="N320" s="355" t="s">
        <v>942</v>
      </c>
      <c r="O320" s="355"/>
      <c r="P320" s="355">
        <v>0.2</v>
      </c>
      <c r="Q320" s="355"/>
      <c r="R320" s="355">
        <v>25</v>
      </c>
      <c r="S320" s="355" t="s">
        <v>592</v>
      </c>
      <c r="T320" s="355" t="s">
        <v>615</v>
      </c>
      <c r="U320" s="355">
        <f t="shared" si="63"/>
        <v>0</v>
      </c>
      <c r="V320" s="355"/>
      <c r="W320" s="360" t="str">
        <f>IF(U320=0,"",COUNTIF(W$27:W319,"&gt;0")+1)</f>
        <v/>
      </c>
      <c r="X320" s="360" t="str">
        <f>IF(U320=0,"",COUNTIF(X$27:X319,"&gt;0")+1)</f>
        <v/>
      </c>
      <c r="Y320" s="355"/>
      <c r="Z320" s="355"/>
      <c r="AA320" s="355"/>
      <c r="AB320" s="355"/>
      <c r="AC320" s="355"/>
      <c r="AD320" s="355"/>
      <c r="AE320" s="355"/>
      <c r="AF320" s="355"/>
      <c r="AG320" s="355"/>
      <c r="AH320" s="355"/>
      <c r="AI320" s="355"/>
      <c r="AJ320" s="219"/>
      <c r="AK320" s="219"/>
      <c r="AL320" s="219"/>
      <c r="AM320" s="399"/>
      <c r="AN320" s="399"/>
      <c r="AO320" s="399"/>
      <c r="AP320" s="399"/>
    </row>
    <row r="321" spans="1:42" hidden="1" x14ac:dyDescent="0.25">
      <c r="A321" s="338"/>
      <c r="B321" s="127" t="s">
        <v>260</v>
      </c>
      <c r="C321" s="117" t="s">
        <v>276</v>
      </c>
      <c r="D321" s="90"/>
      <c r="E321" s="92" t="s">
        <v>277</v>
      </c>
      <c r="F321" s="195" t="s">
        <v>391</v>
      </c>
      <c r="G321" s="176">
        <v>8718226851895</v>
      </c>
      <c r="H321" s="13">
        <v>1</v>
      </c>
      <c r="I321" s="13">
        <v>1</v>
      </c>
      <c r="J321" s="16" t="s">
        <v>278</v>
      </c>
      <c r="K321" s="5">
        <v>4</v>
      </c>
      <c r="L321" s="215"/>
      <c r="M321" s="356" t="s">
        <v>30</v>
      </c>
      <c r="N321" s="355" t="s">
        <v>941</v>
      </c>
      <c r="O321" s="355"/>
      <c r="P321" s="355">
        <v>0.2</v>
      </c>
      <c r="Q321" s="355"/>
      <c r="R321" s="355">
        <v>25</v>
      </c>
      <c r="S321" s="355" t="s">
        <v>592</v>
      </c>
      <c r="T321" s="355" t="s">
        <v>615</v>
      </c>
      <c r="U321" s="355">
        <f t="shared" si="63"/>
        <v>0</v>
      </c>
      <c r="V321" s="355"/>
      <c r="W321" s="360" t="str">
        <f>IF(U321=0,"",COUNTIF(W$27:W320,"&gt;0")+1)</f>
        <v/>
      </c>
      <c r="X321" s="360" t="str">
        <f>IF(U321=0,"",COUNTIF(X$27:X320,"&gt;0")+1)</f>
        <v/>
      </c>
      <c r="Y321" s="355"/>
      <c r="Z321" s="355"/>
      <c r="AA321" s="355"/>
      <c r="AB321" s="355"/>
      <c r="AC321" s="355"/>
      <c r="AD321" s="355"/>
      <c r="AE321" s="355"/>
      <c r="AF321" s="355"/>
      <c r="AG321" s="355"/>
      <c r="AH321" s="355"/>
      <c r="AI321" s="355"/>
      <c r="AJ321" s="219"/>
      <c r="AK321" s="219"/>
      <c r="AL321" s="219"/>
      <c r="AM321" s="399"/>
      <c r="AN321" s="399"/>
      <c r="AO321" s="399"/>
      <c r="AP321" s="399"/>
    </row>
    <row r="322" spans="1:42" hidden="1" x14ac:dyDescent="0.25">
      <c r="A322" s="61">
        <f>SUM(A314:A321)</f>
        <v>0</v>
      </c>
      <c r="B322" s="127" t="s">
        <v>260</v>
      </c>
      <c r="C322" s="31" t="s">
        <v>164</v>
      </c>
      <c r="D322" s="8"/>
      <c r="E322" s="8"/>
      <c r="F322" s="8"/>
      <c r="G322" s="8"/>
      <c r="H322" s="8"/>
      <c r="I322" s="8"/>
      <c r="J322" s="8"/>
      <c r="K322" s="8"/>
      <c r="L322" s="8"/>
      <c r="M322" s="363"/>
      <c r="N322" s="363"/>
      <c r="O322" s="355"/>
      <c r="P322" s="355"/>
      <c r="Q322" s="355"/>
      <c r="R322" s="355"/>
      <c r="S322" s="355" t="s">
        <v>592</v>
      </c>
      <c r="T322" s="355"/>
      <c r="U322" s="355">
        <f t="shared" si="63"/>
        <v>0</v>
      </c>
      <c r="V322" s="355"/>
      <c r="W322" s="360" t="str">
        <f>IF(U322=0,"",COUNTIF(W$27:W321,"&gt;0")+1)</f>
        <v/>
      </c>
      <c r="X322" s="355"/>
      <c r="Y322" s="355"/>
      <c r="Z322" s="355"/>
      <c r="AA322" s="355"/>
      <c r="AB322" s="355"/>
      <c r="AC322" s="355"/>
      <c r="AD322" s="355"/>
      <c r="AE322" s="355"/>
      <c r="AF322" s="355"/>
      <c r="AG322" s="355"/>
      <c r="AH322" s="355"/>
      <c r="AI322" s="355"/>
      <c r="AJ322" s="219"/>
      <c r="AK322" s="219"/>
      <c r="AL322" s="219"/>
      <c r="AM322" s="399"/>
      <c r="AN322" s="399"/>
      <c r="AO322" s="399"/>
      <c r="AP322" s="399"/>
    </row>
    <row r="323" spans="1:42" hidden="1" x14ac:dyDescent="0.25">
      <c r="A323" s="62"/>
      <c r="B323" s="168"/>
      <c r="C323" s="31"/>
      <c r="D323" s="8"/>
      <c r="E323" s="8"/>
      <c r="F323" s="8"/>
      <c r="G323" s="8"/>
      <c r="H323" s="8"/>
      <c r="I323" s="8"/>
      <c r="J323" s="8"/>
      <c r="K323" s="8"/>
      <c r="L323" s="8"/>
      <c r="M323" s="363"/>
      <c r="N323" s="363"/>
      <c r="O323" s="355"/>
      <c r="P323" s="355"/>
      <c r="Q323" s="355"/>
      <c r="R323" s="355"/>
      <c r="S323" s="355"/>
      <c r="T323" s="355"/>
      <c r="U323" s="355"/>
      <c r="V323" s="355"/>
      <c r="W323" s="355"/>
      <c r="X323" s="355"/>
      <c r="Y323" s="355"/>
      <c r="Z323" s="355"/>
      <c r="AA323" s="355"/>
      <c r="AB323" s="355"/>
      <c r="AC323" s="355"/>
      <c r="AD323" s="355"/>
      <c r="AE323" s="355"/>
      <c r="AF323" s="355"/>
      <c r="AG323" s="355"/>
      <c r="AH323" s="355"/>
      <c r="AI323" s="355"/>
      <c r="AJ323" s="219"/>
      <c r="AK323" s="219"/>
      <c r="AL323" s="219"/>
      <c r="AM323" s="399"/>
      <c r="AN323" s="399"/>
      <c r="AO323" s="399"/>
      <c r="AP323" s="399"/>
    </row>
    <row r="324" spans="1:42" ht="28.5" hidden="1" x14ac:dyDescent="0.25">
      <c r="A324" s="67" t="s">
        <v>447</v>
      </c>
      <c r="B324" s="67"/>
      <c r="C324" s="67"/>
      <c r="D324" s="67"/>
      <c r="E324" s="67"/>
      <c r="F324" s="67"/>
      <c r="G324" s="67"/>
      <c r="H324" s="67"/>
      <c r="I324" s="67"/>
      <c r="J324" s="8"/>
      <c r="K324" s="8"/>
      <c r="L324" s="8"/>
      <c r="M324" s="363"/>
      <c r="N324" s="363"/>
      <c r="O324" s="355"/>
      <c r="P324" s="355"/>
      <c r="Q324" s="355"/>
      <c r="R324" s="355"/>
      <c r="S324" s="355"/>
      <c r="T324" s="355"/>
      <c r="U324" s="355"/>
      <c r="V324" s="355"/>
      <c r="W324" s="355"/>
      <c r="X324" s="355"/>
      <c r="Y324" s="355"/>
      <c r="Z324" s="355"/>
      <c r="AA324" s="355"/>
      <c r="AB324" s="355"/>
      <c r="AC324" s="355"/>
      <c r="AD324" s="355"/>
      <c r="AE324" s="355"/>
      <c r="AF324" s="355"/>
      <c r="AG324" s="355"/>
      <c r="AH324" s="355"/>
      <c r="AI324" s="355"/>
      <c r="AJ324" s="219"/>
      <c r="AK324" s="219"/>
      <c r="AL324" s="219"/>
      <c r="AM324" s="399"/>
      <c r="AN324" s="399"/>
      <c r="AO324" s="399"/>
      <c r="AP324" s="399"/>
    </row>
    <row r="325" spans="1:42" ht="19.5" hidden="1" customHeight="1" x14ac:dyDescent="0.25">
      <c r="A325" s="368" t="s">
        <v>0</v>
      </c>
      <c r="B325" s="369"/>
      <c r="C325" s="368" t="s">
        <v>165</v>
      </c>
      <c r="D325" s="71"/>
      <c r="E325" s="72"/>
      <c r="F325" s="139" t="s">
        <v>385</v>
      </c>
      <c r="G325" s="382" t="s">
        <v>508</v>
      </c>
      <c r="H325" s="103" t="s">
        <v>3</v>
      </c>
      <c r="I325" s="103" t="s">
        <v>4</v>
      </c>
      <c r="J325" s="380" t="s">
        <v>331</v>
      </c>
      <c r="K325" s="380" t="s">
        <v>5</v>
      </c>
      <c r="M325" s="356" t="s">
        <v>2</v>
      </c>
      <c r="N325" s="357"/>
      <c r="O325" s="355"/>
      <c r="P325" s="355"/>
      <c r="Q325" s="355"/>
      <c r="R325" s="355"/>
      <c r="S325" s="355"/>
      <c r="T325" s="355"/>
      <c r="U325" s="355"/>
      <c r="V325" s="355"/>
      <c r="W325" s="355"/>
      <c r="X325" s="355"/>
      <c r="Y325" s="355"/>
      <c r="Z325" s="355"/>
      <c r="AA325" s="355"/>
      <c r="AB325" s="355"/>
      <c r="AC325" s="355"/>
      <c r="AD325" s="355"/>
      <c r="AE325" s="355"/>
      <c r="AF325" s="355"/>
      <c r="AG325" s="355"/>
      <c r="AH325" s="355"/>
      <c r="AI325" s="355"/>
      <c r="AJ325" s="219"/>
      <c r="AK325" s="219"/>
      <c r="AL325" s="219"/>
      <c r="AM325" s="399"/>
      <c r="AN325" s="399"/>
      <c r="AO325" s="399"/>
      <c r="AP325" s="399"/>
    </row>
    <row r="326" spans="1:42" ht="19.5" hidden="1" customHeight="1" x14ac:dyDescent="0.25">
      <c r="A326" s="370"/>
      <c r="B326" s="371"/>
      <c r="C326" s="370"/>
      <c r="D326" s="74"/>
      <c r="E326" s="75"/>
      <c r="F326" s="140" t="s">
        <v>386</v>
      </c>
      <c r="G326" s="383"/>
      <c r="H326" s="104" t="s">
        <v>8</v>
      </c>
      <c r="I326" s="104" t="s">
        <v>9</v>
      </c>
      <c r="J326" s="381"/>
      <c r="K326" s="381"/>
      <c r="M326" s="357" t="s">
        <v>7</v>
      </c>
      <c r="N326" s="357"/>
      <c r="O326" s="355"/>
      <c r="P326" s="355"/>
      <c r="Q326" s="355"/>
      <c r="R326" s="355"/>
      <c r="S326" s="355"/>
      <c r="T326" s="355"/>
      <c r="U326" s="355"/>
      <c r="V326" s="355"/>
      <c r="W326" s="355"/>
      <c r="X326" s="355"/>
      <c r="Y326" s="355"/>
      <c r="Z326" s="355"/>
      <c r="AA326" s="355"/>
      <c r="AB326" s="355"/>
      <c r="AC326" s="355"/>
      <c r="AD326" s="355"/>
      <c r="AE326" s="355"/>
      <c r="AF326" s="355"/>
      <c r="AG326" s="355"/>
      <c r="AH326" s="355"/>
      <c r="AI326" s="355"/>
      <c r="AJ326" s="219"/>
      <c r="AK326" s="219"/>
      <c r="AL326" s="219"/>
      <c r="AM326" s="399"/>
      <c r="AN326" s="399"/>
      <c r="AO326" s="399"/>
      <c r="AP326" s="399"/>
    </row>
    <row r="327" spans="1:42" ht="15" hidden="1" customHeight="1" x14ac:dyDescent="0.25">
      <c r="A327" s="338"/>
      <c r="B327" s="127" t="s">
        <v>445</v>
      </c>
      <c r="C327" s="89" t="s">
        <v>446</v>
      </c>
      <c r="D327" s="91"/>
      <c r="E327" s="86" t="s">
        <v>208</v>
      </c>
      <c r="F327" s="195" t="s">
        <v>387</v>
      </c>
      <c r="G327" s="176">
        <v>8718226851819</v>
      </c>
      <c r="H327" s="13">
        <v>1</v>
      </c>
      <c r="I327" s="13">
        <v>1</v>
      </c>
      <c r="J327" s="12" t="s">
        <v>263</v>
      </c>
      <c r="K327" s="5">
        <v>4</v>
      </c>
      <c r="M327" s="357" t="s">
        <v>30</v>
      </c>
      <c r="N327" s="355" t="s">
        <v>943</v>
      </c>
      <c r="O327" s="355"/>
      <c r="P327" s="355">
        <v>0.2</v>
      </c>
      <c r="Q327" s="355"/>
      <c r="R327" s="355">
        <v>25</v>
      </c>
      <c r="S327" s="355" t="s">
        <v>593</v>
      </c>
      <c r="T327" s="355" t="s">
        <v>615</v>
      </c>
      <c r="U327" s="355">
        <f>A327</f>
        <v>0</v>
      </c>
      <c r="V327" s="355"/>
      <c r="W327" s="360" t="str">
        <f>IF(U327=0,"",COUNTIF(W$27:W326,"&gt;0")+1)</f>
        <v/>
      </c>
      <c r="X327" s="360" t="str">
        <f>IF(U327=0,"",COUNTIF(X$27:X326,"&gt;0")+1)</f>
        <v/>
      </c>
      <c r="Y327" s="355"/>
      <c r="Z327" s="355"/>
      <c r="AA327" s="355"/>
      <c r="AB327" s="355"/>
      <c r="AC327" s="355"/>
      <c r="AD327" s="355"/>
      <c r="AE327" s="355"/>
      <c r="AF327" s="355"/>
      <c r="AG327" s="355"/>
      <c r="AH327" s="355"/>
      <c r="AI327" s="355"/>
      <c r="AJ327" s="219"/>
      <c r="AK327" s="219"/>
      <c r="AL327" s="219"/>
      <c r="AM327" s="399"/>
      <c r="AN327" s="399"/>
      <c r="AO327" s="399"/>
      <c r="AP327" s="399"/>
    </row>
    <row r="328" spans="1:42" ht="19.5" hidden="1" customHeight="1" x14ac:dyDescent="0.25">
      <c r="A328" s="61">
        <f>A327</f>
        <v>0</v>
      </c>
      <c r="B328" s="127" t="s">
        <v>509</v>
      </c>
      <c r="C328" s="31" t="s">
        <v>164</v>
      </c>
      <c r="D328" s="8"/>
      <c r="E328" s="8"/>
      <c r="F328" s="8"/>
      <c r="G328" s="8"/>
      <c r="H328" s="8"/>
      <c r="I328" s="8"/>
      <c r="J328" s="8"/>
      <c r="K328" s="8"/>
      <c r="M328" s="363"/>
      <c r="N328" s="363"/>
      <c r="O328" s="355"/>
      <c r="P328" s="355"/>
      <c r="Q328" s="355"/>
      <c r="R328" s="355"/>
      <c r="S328" s="355" t="s">
        <v>593</v>
      </c>
      <c r="T328" s="355"/>
      <c r="U328" s="355">
        <f>A328</f>
        <v>0</v>
      </c>
      <c r="V328" s="355"/>
      <c r="W328" s="360" t="str">
        <f>IF(U328=0,"",COUNTIF(W$27:W327,"&gt;0")+1)</f>
        <v/>
      </c>
      <c r="X328" s="355"/>
      <c r="Y328" s="355"/>
      <c r="Z328" s="355"/>
      <c r="AA328" s="355"/>
      <c r="AB328" s="355"/>
      <c r="AC328" s="355"/>
      <c r="AD328" s="355"/>
      <c r="AE328" s="355"/>
      <c r="AF328" s="355"/>
      <c r="AG328" s="355"/>
      <c r="AH328" s="355"/>
      <c r="AI328" s="355"/>
      <c r="AJ328" s="219"/>
      <c r="AK328" s="219"/>
      <c r="AL328" s="219"/>
      <c r="AM328" s="399"/>
      <c r="AN328" s="399"/>
      <c r="AO328" s="399"/>
      <c r="AP328" s="399"/>
    </row>
    <row r="329" spans="1:42" ht="19.5" hidden="1" customHeight="1" x14ac:dyDescent="0.25">
      <c r="A329" s="62"/>
      <c r="B329" s="168"/>
      <c r="C329" s="31"/>
      <c r="D329" s="8"/>
      <c r="E329" s="8"/>
      <c r="F329" s="8"/>
      <c r="G329" s="8"/>
      <c r="H329" s="8"/>
      <c r="I329" s="8"/>
      <c r="J329" s="8"/>
      <c r="K329" s="8"/>
      <c r="L329" s="8"/>
      <c r="M329" s="363"/>
      <c r="N329" s="363"/>
      <c r="O329" s="355"/>
      <c r="P329" s="355"/>
      <c r="Q329" s="355"/>
      <c r="R329" s="355"/>
      <c r="S329" s="355"/>
      <c r="T329" s="355"/>
      <c r="U329" s="355"/>
      <c r="V329" s="355"/>
      <c r="W329" s="355"/>
      <c r="X329" s="355"/>
      <c r="Y329" s="355"/>
      <c r="Z329" s="355"/>
      <c r="AA329" s="355"/>
      <c r="AB329" s="355"/>
      <c r="AC329" s="355"/>
      <c r="AD329" s="355"/>
      <c r="AE329" s="355"/>
      <c r="AF329" s="355"/>
      <c r="AG329" s="355"/>
      <c r="AH329" s="355"/>
      <c r="AI329" s="355"/>
      <c r="AJ329" s="219"/>
      <c r="AK329" s="219"/>
      <c r="AL329" s="219"/>
      <c r="AM329" s="399"/>
      <c r="AN329" s="399"/>
      <c r="AO329" s="399"/>
      <c r="AP329" s="399"/>
    </row>
    <row r="330" spans="1:42" ht="28.5" hidden="1" x14ac:dyDescent="0.25">
      <c r="A330" s="67" t="s">
        <v>510</v>
      </c>
      <c r="B330" s="67"/>
      <c r="C330" s="67"/>
      <c r="D330" s="67"/>
      <c r="E330" s="67"/>
      <c r="F330" s="67"/>
      <c r="G330" s="67"/>
      <c r="H330" s="67"/>
      <c r="I330" s="67"/>
      <c r="J330" s="8"/>
      <c r="K330" s="8"/>
      <c r="L330" s="8"/>
      <c r="M330" s="365"/>
      <c r="N330" s="365"/>
      <c r="O330" s="219"/>
      <c r="P330" s="219"/>
      <c r="Q330" s="219"/>
      <c r="R330" s="219"/>
      <c r="S330" s="219"/>
      <c r="T330" s="219"/>
      <c r="U330" s="219"/>
      <c r="V330" s="219"/>
      <c r="W330" s="219"/>
      <c r="X330" s="219"/>
      <c r="Y330" s="219"/>
      <c r="Z330" s="219"/>
      <c r="AA330" s="219"/>
      <c r="AB330" s="219"/>
      <c r="AC330" s="219"/>
      <c r="AD330" s="219"/>
      <c r="AE330" s="219"/>
      <c r="AF330" s="219"/>
      <c r="AG330" s="219"/>
      <c r="AH330" s="219"/>
      <c r="AI330" s="219"/>
      <c r="AJ330" s="219"/>
      <c r="AK330" s="219"/>
      <c r="AL330" s="219"/>
      <c r="AM330" s="399"/>
      <c r="AN330" s="399"/>
      <c r="AO330" s="399"/>
      <c r="AP330" s="399"/>
    </row>
    <row r="331" spans="1:42" ht="19.5" hidden="1" customHeight="1" x14ac:dyDescent="0.25">
      <c r="A331" s="368" t="s">
        <v>0</v>
      </c>
      <c r="B331" s="369"/>
      <c r="C331" s="368" t="s">
        <v>165</v>
      </c>
      <c r="D331" s="71"/>
      <c r="E331" s="72"/>
      <c r="F331" s="139" t="s">
        <v>385</v>
      </c>
      <c r="G331" s="382" t="s">
        <v>508</v>
      </c>
      <c r="H331" s="103" t="s">
        <v>3</v>
      </c>
      <c r="I331" s="103" t="s">
        <v>4</v>
      </c>
      <c r="J331" s="380" t="s">
        <v>331</v>
      </c>
      <c r="M331" s="365"/>
      <c r="N331" s="365"/>
      <c r="O331" s="219"/>
      <c r="P331" s="219"/>
      <c r="Q331" s="219"/>
      <c r="R331" s="219"/>
      <c r="S331" s="219"/>
      <c r="T331" s="219"/>
      <c r="U331" s="219"/>
      <c r="V331" s="219"/>
      <c r="W331" s="219"/>
      <c r="X331" s="219"/>
      <c r="Y331" s="219"/>
      <c r="Z331" s="219"/>
      <c r="AA331" s="219"/>
      <c r="AB331" s="219"/>
      <c r="AC331" s="219"/>
      <c r="AD331" s="219"/>
      <c r="AE331" s="219"/>
      <c r="AF331" s="219"/>
      <c r="AG331" s="219"/>
      <c r="AH331" s="219"/>
      <c r="AI331" s="219"/>
      <c r="AJ331" s="219"/>
      <c r="AK331" s="219"/>
      <c r="AL331" s="219"/>
      <c r="AM331" s="399"/>
      <c r="AN331" s="399"/>
      <c r="AO331" s="399"/>
      <c r="AP331" s="399"/>
    </row>
    <row r="332" spans="1:42" ht="19.5" hidden="1" customHeight="1" x14ac:dyDescent="0.25">
      <c r="A332" s="370"/>
      <c r="B332" s="371"/>
      <c r="C332" s="370"/>
      <c r="D332" s="74"/>
      <c r="E332" s="75"/>
      <c r="F332" s="140" t="s">
        <v>386</v>
      </c>
      <c r="G332" s="383"/>
      <c r="H332" s="104" t="s">
        <v>8</v>
      </c>
      <c r="I332" s="104" t="s">
        <v>9</v>
      </c>
      <c r="J332" s="381"/>
      <c r="M332" s="365"/>
      <c r="N332" s="365"/>
      <c r="O332" s="219"/>
      <c r="P332" s="219"/>
      <c r="Q332" s="219"/>
      <c r="R332" s="219"/>
      <c r="S332" s="219"/>
      <c r="T332" s="219"/>
      <c r="U332" s="219"/>
      <c r="V332" s="219"/>
      <c r="W332" s="219"/>
      <c r="X332" s="219"/>
      <c r="Y332" s="219"/>
      <c r="Z332" s="219"/>
      <c r="AA332" s="219"/>
      <c r="AB332" s="219"/>
      <c r="AC332" s="219"/>
      <c r="AD332" s="219"/>
      <c r="AE332" s="219"/>
      <c r="AF332" s="219"/>
      <c r="AG332" s="219"/>
      <c r="AH332" s="219"/>
      <c r="AI332" s="219"/>
      <c r="AJ332" s="219"/>
      <c r="AK332" s="219"/>
      <c r="AL332" s="219"/>
      <c r="AM332" s="399"/>
      <c r="AN332" s="399"/>
      <c r="AO332" s="399"/>
      <c r="AP332" s="399"/>
    </row>
    <row r="333" spans="1:42" ht="15" hidden="1" customHeight="1" x14ac:dyDescent="0.25">
      <c r="A333" s="338"/>
      <c r="B333" s="127" t="s">
        <v>445</v>
      </c>
      <c r="C333" s="89" t="s">
        <v>511</v>
      </c>
      <c r="D333" s="91"/>
      <c r="E333" s="86"/>
      <c r="F333" s="195"/>
      <c r="G333" s="177">
        <v>8719743711648</v>
      </c>
      <c r="H333" s="13">
        <v>1</v>
      </c>
      <c r="I333" s="13">
        <v>1</v>
      </c>
      <c r="J333" s="12" t="s">
        <v>263</v>
      </c>
      <c r="M333" s="366"/>
      <c r="N333" s="366"/>
      <c r="O333" s="219"/>
      <c r="P333" s="219"/>
      <c r="Q333" s="219"/>
      <c r="R333" s="219"/>
      <c r="S333" s="219"/>
      <c r="T333" s="219"/>
      <c r="U333" s="219"/>
      <c r="V333" s="219"/>
      <c r="W333" s="219"/>
      <c r="X333" s="219"/>
      <c r="Y333" s="219"/>
      <c r="Z333" s="219"/>
      <c r="AA333" s="219"/>
      <c r="AB333" s="219"/>
      <c r="AC333" s="219"/>
      <c r="AD333" s="219"/>
      <c r="AE333" s="219"/>
      <c r="AF333" s="219"/>
      <c r="AG333" s="219"/>
      <c r="AH333" s="219"/>
      <c r="AI333" s="219"/>
      <c r="AJ333" s="219"/>
      <c r="AK333" s="219"/>
      <c r="AL333" s="219"/>
      <c r="AM333" s="399"/>
      <c r="AN333" s="399"/>
      <c r="AO333" s="399"/>
      <c r="AP333" s="399"/>
    </row>
    <row r="334" spans="1:42" ht="15" hidden="1" customHeight="1" x14ac:dyDescent="0.25">
      <c r="A334" s="338"/>
      <c r="B334" s="127" t="s">
        <v>445</v>
      </c>
      <c r="C334" s="89" t="s">
        <v>512</v>
      </c>
      <c r="D334" s="91"/>
      <c r="E334" s="86"/>
      <c r="F334" s="195"/>
      <c r="G334" s="177">
        <v>8719743711655</v>
      </c>
      <c r="H334" s="13">
        <v>1</v>
      </c>
      <c r="I334" s="13">
        <v>1</v>
      </c>
      <c r="J334" s="12" t="s">
        <v>263</v>
      </c>
      <c r="M334" s="366"/>
      <c r="N334" s="366"/>
      <c r="O334" s="219"/>
      <c r="P334" s="219"/>
      <c r="Q334" s="219"/>
      <c r="R334" s="219"/>
      <c r="S334" s="219"/>
      <c r="T334" s="219"/>
      <c r="U334" s="219"/>
      <c r="V334" s="219"/>
      <c r="W334" s="219"/>
      <c r="X334" s="219"/>
      <c r="Y334" s="219"/>
      <c r="Z334" s="219"/>
      <c r="AA334" s="219"/>
      <c r="AB334" s="219"/>
      <c r="AC334" s="219"/>
      <c r="AD334" s="219"/>
      <c r="AE334" s="219"/>
      <c r="AF334" s="219"/>
      <c r="AG334" s="219"/>
      <c r="AH334" s="219"/>
      <c r="AI334" s="219"/>
      <c r="AJ334" s="219"/>
      <c r="AK334" s="219"/>
      <c r="AL334" s="219"/>
      <c r="AM334" s="399"/>
      <c r="AN334" s="399"/>
      <c r="AO334" s="399"/>
      <c r="AP334" s="399"/>
    </row>
    <row r="335" spans="1:42" ht="15" hidden="1" customHeight="1" x14ac:dyDescent="0.25">
      <c r="A335" s="61"/>
      <c r="B335" s="127" t="s">
        <v>509</v>
      </c>
      <c r="C335" s="31" t="s">
        <v>164</v>
      </c>
      <c r="D335" s="8"/>
      <c r="E335" s="8"/>
      <c r="F335" s="8"/>
      <c r="G335" s="8"/>
      <c r="H335" s="8"/>
      <c r="I335" s="8"/>
      <c r="J335" s="8"/>
      <c r="M335" s="367"/>
      <c r="N335" s="367"/>
      <c r="O335" s="219"/>
      <c r="P335" s="219"/>
      <c r="Q335" s="219"/>
      <c r="R335" s="219"/>
      <c r="S335" s="219"/>
      <c r="T335" s="219"/>
      <c r="U335" s="219"/>
      <c r="V335" s="219"/>
      <c r="W335" s="219"/>
      <c r="X335" s="219"/>
      <c r="Y335" s="219"/>
      <c r="Z335" s="219"/>
      <c r="AA335" s="219"/>
      <c r="AB335" s="219"/>
      <c r="AC335" s="219"/>
      <c r="AD335" s="219"/>
      <c r="AE335" s="219"/>
      <c r="AF335" s="219"/>
      <c r="AG335" s="219"/>
      <c r="AH335" s="219"/>
      <c r="AI335" s="219"/>
      <c r="AJ335" s="219"/>
      <c r="AK335" s="219"/>
      <c r="AL335" s="219"/>
      <c r="AM335" s="399"/>
      <c r="AN335" s="399"/>
      <c r="AO335" s="399"/>
      <c r="AP335" s="399"/>
    </row>
    <row r="336" spans="1:42" ht="15" hidden="1" customHeight="1" x14ac:dyDescent="0.25">
      <c r="A336" s="31"/>
      <c r="B336" s="31"/>
      <c r="C336" s="31"/>
      <c r="D336" s="8"/>
      <c r="E336" s="8"/>
      <c r="F336" s="8"/>
      <c r="G336" s="8"/>
      <c r="H336" s="8"/>
      <c r="I336" s="8"/>
      <c r="J336" s="8"/>
      <c r="K336" s="8"/>
      <c r="M336" s="367"/>
      <c r="N336" s="367"/>
      <c r="O336" s="219"/>
      <c r="P336" s="219"/>
      <c r="Q336" s="219"/>
      <c r="R336" s="219"/>
      <c r="S336" s="219"/>
      <c r="T336" s="219"/>
      <c r="U336" s="219"/>
      <c r="V336" s="219"/>
      <c r="W336" s="219"/>
      <c r="X336" s="219"/>
      <c r="Y336" s="219"/>
      <c r="Z336" s="219"/>
      <c r="AA336" s="219"/>
      <c r="AB336" s="219"/>
      <c r="AC336" s="219"/>
      <c r="AD336" s="219"/>
      <c r="AE336" s="219"/>
      <c r="AF336" s="219"/>
      <c r="AG336" s="219"/>
      <c r="AH336" s="219"/>
      <c r="AI336" s="219"/>
      <c r="AJ336" s="219"/>
      <c r="AK336" s="219"/>
      <c r="AL336" s="219"/>
      <c r="AM336" s="399"/>
      <c r="AN336" s="399"/>
      <c r="AO336" s="399"/>
      <c r="AP336" s="399"/>
    </row>
    <row r="337" spans="1:42" ht="28.5" x14ac:dyDescent="0.25">
      <c r="A337" s="67" t="s">
        <v>950</v>
      </c>
      <c r="B337" s="31"/>
      <c r="C337" s="31"/>
      <c r="D337" s="8"/>
      <c r="E337" s="8"/>
      <c r="F337" s="8"/>
      <c r="G337" s="8"/>
      <c r="H337" s="8"/>
      <c r="I337" s="8"/>
      <c r="J337" s="8"/>
      <c r="K337" s="8"/>
      <c r="M337" s="219"/>
      <c r="N337" s="219"/>
      <c r="O337" s="219"/>
      <c r="P337" s="219"/>
      <c r="Q337" s="219"/>
      <c r="R337" s="219"/>
      <c r="S337" s="219"/>
      <c r="T337" s="219"/>
      <c r="U337" s="219"/>
      <c r="V337" s="219"/>
      <c r="W337" s="219"/>
      <c r="X337" s="219"/>
      <c r="Y337" s="219"/>
      <c r="Z337" s="219"/>
      <c r="AA337" s="219"/>
      <c r="AB337" s="219"/>
      <c r="AC337" s="219"/>
      <c r="AD337" s="219"/>
      <c r="AE337" s="219"/>
      <c r="AF337" s="219"/>
      <c r="AG337" s="219"/>
      <c r="AH337" s="219"/>
      <c r="AI337" s="219"/>
      <c r="AJ337" s="219"/>
      <c r="AK337" s="219"/>
      <c r="AL337" s="219"/>
      <c r="AM337" s="399"/>
      <c r="AN337" s="399"/>
      <c r="AO337" s="399"/>
      <c r="AP337" s="399"/>
    </row>
    <row r="338" spans="1:42" x14ac:dyDescent="0.25">
      <c r="A338" s="368" t="s">
        <v>0</v>
      </c>
      <c r="B338" s="369"/>
      <c r="C338" s="368" t="s">
        <v>165</v>
      </c>
      <c r="D338" s="71"/>
      <c r="E338" s="71"/>
      <c r="F338" s="71"/>
      <c r="G338" s="71"/>
      <c r="H338" s="71"/>
      <c r="I338" s="72"/>
      <c r="J338" s="130" t="s">
        <v>281</v>
      </c>
      <c r="M338" s="219"/>
      <c r="N338" s="219"/>
      <c r="O338" s="219"/>
      <c r="P338" s="219"/>
      <c r="Q338" s="219"/>
      <c r="R338" s="219"/>
      <c r="S338" s="219"/>
      <c r="T338" s="219"/>
      <c r="U338" s="219"/>
      <c r="V338" s="219"/>
      <c r="W338" s="219"/>
      <c r="X338" s="219"/>
      <c r="Y338" s="219"/>
      <c r="Z338" s="219"/>
      <c r="AA338" s="219"/>
      <c r="AB338" s="219"/>
      <c r="AC338" s="219"/>
      <c r="AD338" s="219"/>
      <c r="AE338" s="219"/>
      <c r="AF338" s="219"/>
      <c r="AG338" s="219"/>
      <c r="AH338" s="219"/>
      <c r="AI338" s="219"/>
      <c r="AJ338" s="219"/>
      <c r="AK338" s="219"/>
      <c r="AL338" s="219"/>
      <c r="AM338" s="399"/>
      <c r="AN338" s="399"/>
      <c r="AO338" s="399"/>
      <c r="AP338" s="399"/>
    </row>
    <row r="339" spans="1:42" x14ac:dyDescent="0.25">
      <c r="A339" s="370"/>
      <c r="B339" s="371"/>
      <c r="C339" s="370"/>
      <c r="D339" s="74"/>
      <c r="E339" s="74"/>
      <c r="F339" s="74"/>
      <c r="G339" s="74"/>
      <c r="H339" s="74"/>
      <c r="I339" s="75"/>
      <c r="J339" s="131"/>
      <c r="M339" s="219"/>
      <c r="N339" s="219"/>
      <c r="O339" s="219"/>
      <c r="P339" s="219"/>
      <c r="Q339" s="219"/>
      <c r="R339" s="219"/>
      <c r="S339" s="219"/>
      <c r="T339" s="219"/>
      <c r="U339" s="219"/>
      <c r="V339" s="219"/>
      <c r="W339" s="219"/>
      <c r="X339" s="219"/>
      <c r="Y339" s="219"/>
      <c r="Z339" s="219"/>
      <c r="AA339" s="219"/>
      <c r="AB339" s="219"/>
      <c r="AC339" s="219"/>
      <c r="AD339" s="219"/>
      <c r="AE339" s="219"/>
      <c r="AF339" s="219"/>
      <c r="AG339" s="219"/>
      <c r="AH339" s="219"/>
      <c r="AI339" s="219"/>
      <c r="AJ339" s="219"/>
      <c r="AK339" s="219"/>
      <c r="AL339" s="219"/>
      <c r="AM339" s="399"/>
      <c r="AN339" s="399"/>
      <c r="AO339" s="399"/>
      <c r="AP339" s="399"/>
    </row>
    <row r="340" spans="1:42" x14ac:dyDescent="0.25">
      <c r="A340" s="330"/>
      <c r="B340" s="125" t="s">
        <v>279</v>
      </c>
      <c r="C340" s="88" t="s">
        <v>282</v>
      </c>
      <c r="D340" s="94"/>
      <c r="E340" s="77"/>
      <c r="F340" s="77"/>
      <c r="G340" s="77"/>
      <c r="H340" s="77"/>
      <c r="I340" s="44"/>
      <c r="J340" s="24" t="s">
        <v>283</v>
      </c>
      <c r="M340" s="219"/>
      <c r="N340" s="219"/>
      <c r="O340" s="219"/>
      <c r="P340" s="219"/>
      <c r="Q340" s="219"/>
      <c r="R340" s="219"/>
      <c r="S340" s="219"/>
      <c r="T340" s="219"/>
      <c r="U340" s="219"/>
      <c r="V340" s="219"/>
      <c r="W340" s="219"/>
      <c r="X340" s="219"/>
      <c r="Y340" s="219"/>
      <c r="Z340" s="219"/>
      <c r="AA340" s="219"/>
      <c r="AB340" s="219"/>
      <c r="AC340" s="219"/>
      <c r="AD340" s="219"/>
      <c r="AE340" s="219"/>
      <c r="AF340" s="219"/>
      <c r="AG340" s="219"/>
      <c r="AH340" s="219"/>
      <c r="AI340" s="219"/>
      <c r="AJ340" s="219"/>
      <c r="AK340" s="219"/>
      <c r="AL340" s="219"/>
      <c r="AM340" s="399"/>
      <c r="AN340" s="399"/>
      <c r="AO340" s="399"/>
      <c r="AP340" s="399"/>
    </row>
    <row r="341" spans="1:42" x14ac:dyDescent="0.25">
      <c r="A341" s="330"/>
      <c r="B341" s="125" t="s">
        <v>279</v>
      </c>
      <c r="C341" s="88" t="s">
        <v>284</v>
      </c>
      <c r="D341" s="94"/>
      <c r="E341" s="77"/>
      <c r="F341" s="77"/>
      <c r="G341" s="77"/>
      <c r="H341" s="77"/>
      <c r="I341" s="44"/>
      <c r="J341" s="24" t="s">
        <v>285</v>
      </c>
      <c r="M341" s="219"/>
      <c r="N341" s="219"/>
      <c r="O341" s="219"/>
      <c r="P341" s="219"/>
      <c r="Q341" s="219"/>
      <c r="R341" s="219"/>
      <c r="S341" s="219"/>
      <c r="T341" s="219"/>
      <c r="U341" s="219"/>
      <c r="V341" s="219"/>
      <c r="W341" s="219"/>
      <c r="X341" s="219"/>
      <c r="Y341" s="219"/>
      <c r="Z341" s="219"/>
      <c r="AA341" s="219"/>
      <c r="AB341" s="219"/>
      <c r="AC341" s="219"/>
      <c r="AD341" s="219"/>
      <c r="AE341" s="219"/>
      <c r="AF341" s="219"/>
      <c r="AG341" s="219"/>
      <c r="AH341" s="219"/>
      <c r="AI341" s="219"/>
      <c r="AJ341" s="219"/>
      <c r="AK341" s="219"/>
      <c r="AL341" s="219"/>
      <c r="AM341" s="399"/>
      <c r="AN341" s="399"/>
      <c r="AO341" s="399"/>
      <c r="AP341" s="399"/>
    </row>
    <row r="342" spans="1:42" x14ac:dyDescent="0.25">
      <c r="A342" s="330"/>
      <c r="B342" s="125" t="s">
        <v>279</v>
      </c>
      <c r="C342" s="88" t="s">
        <v>286</v>
      </c>
      <c r="D342" s="94"/>
      <c r="E342" s="77"/>
      <c r="F342" s="77"/>
      <c r="G342" s="77"/>
      <c r="H342" s="77"/>
      <c r="I342" s="44"/>
      <c r="J342" s="24" t="s">
        <v>287</v>
      </c>
      <c r="M342" s="219"/>
      <c r="N342" s="219"/>
      <c r="O342" s="219"/>
      <c r="P342" s="219"/>
      <c r="Q342" s="219"/>
      <c r="R342" s="219"/>
      <c r="S342" s="219"/>
      <c r="T342" s="219"/>
      <c r="U342" s="219"/>
      <c r="V342" s="219"/>
      <c r="W342" s="219"/>
      <c r="X342" s="219"/>
      <c r="Y342" s="219"/>
      <c r="Z342" s="219"/>
      <c r="AA342" s="219"/>
      <c r="AB342" s="219"/>
      <c r="AC342" s="219"/>
      <c r="AD342" s="219"/>
      <c r="AE342" s="219"/>
      <c r="AF342" s="219"/>
      <c r="AG342" s="219"/>
      <c r="AH342" s="219"/>
      <c r="AI342" s="219"/>
      <c r="AJ342" s="219"/>
      <c r="AK342" s="219"/>
      <c r="AL342" s="219"/>
      <c r="AM342" s="399"/>
      <c r="AN342" s="399"/>
      <c r="AO342" s="399"/>
      <c r="AP342" s="399"/>
    </row>
    <row r="343" spans="1:42" x14ac:dyDescent="0.25">
      <c r="A343" s="330"/>
      <c r="B343" s="125" t="s">
        <v>279</v>
      </c>
      <c r="C343" s="88" t="s">
        <v>288</v>
      </c>
      <c r="D343" s="94"/>
      <c r="E343" s="77"/>
      <c r="F343" s="77"/>
      <c r="G343" s="77"/>
      <c r="H343" s="77"/>
      <c r="I343" s="44"/>
      <c r="J343" s="24" t="s">
        <v>289</v>
      </c>
      <c r="M343" s="219"/>
      <c r="N343" s="219"/>
      <c r="O343" s="219"/>
      <c r="P343" s="219"/>
      <c r="Q343" s="219"/>
      <c r="R343" s="219"/>
      <c r="S343" s="219"/>
      <c r="T343" s="219"/>
      <c r="U343" s="219"/>
      <c r="V343" s="219"/>
      <c r="W343" s="219"/>
      <c r="X343" s="219"/>
      <c r="Y343" s="219"/>
      <c r="Z343" s="219"/>
      <c r="AA343" s="219"/>
      <c r="AB343" s="219"/>
      <c r="AC343" s="219"/>
      <c r="AD343" s="219"/>
      <c r="AE343" s="219"/>
      <c r="AF343" s="219"/>
      <c r="AG343" s="219"/>
      <c r="AH343" s="219"/>
      <c r="AI343" s="219"/>
      <c r="AJ343" s="219"/>
      <c r="AK343" s="219"/>
      <c r="AL343" s="219"/>
      <c r="AM343" s="399"/>
      <c r="AN343" s="399"/>
      <c r="AO343" s="399"/>
      <c r="AP343" s="399"/>
    </row>
    <row r="344" spans="1:42" x14ac:dyDescent="0.25">
      <c r="A344" s="330"/>
      <c r="B344" s="125" t="s">
        <v>211</v>
      </c>
      <c r="C344" s="89" t="s">
        <v>290</v>
      </c>
      <c r="D344" s="93"/>
      <c r="E344" s="77"/>
      <c r="F344" s="77"/>
      <c r="G344" s="77"/>
      <c r="H344" s="77"/>
      <c r="I344" s="44"/>
      <c r="J344" s="24" t="s">
        <v>291</v>
      </c>
      <c r="M344" s="219"/>
      <c r="N344" s="219"/>
      <c r="O344" s="219"/>
      <c r="P344" s="219"/>
      <c r="Q344" s="219"/>
      <c r="R344" s="219"/>
      <c r="S344" s="219"/>
      <c r="T344" s="219"/>
      <c r="U344" s="219"/>
      <c r="V344" s="219"/>
      <c r="W344" s="219"/>
      <c r="X344" s="219"/>
      <c r="Y344" s="219"/>
      <c r="Z344" s="219"/>
      <c r="AA344" s="219"/>
      <c r="AB344" s="219"/>
      <c r="AC344" s="219"/>
      <c r="AD344" s="219"/>
      <c r="AE344" s="219"/>
      <c r="AF344" s="219"/>
      <c r="AG344" s="219"/>
      <c r="AH344" s="219"/>
      <c r="AI344" s="219"/>
      <c r="AJ344" s="219"/>
      <c r="AK344" s="219"/>
      <c r="AL344" s="219"/>
      <c r="AM344" s="399"/>
      <c r="AN344" s="399"/>
      <c r="AO344" s="399"/>
      <c r="AP344" s="399"/>
    </row>
    <row r="345" spans="1:42" x14ac:dyDescent="0.25">
      <c r="A345" s="330"/>
      <c r="B345" s="125" t="s">
        <v>279</v>
      </c>
      <c r="C345" s="89" t="s">
        <v>292</v>
      </c>
      <c r="D345" s="93"/>
      <c r="E345" s="77"/>
      <c r="F345" s="77"/>
      <c r="G345" s="77"/>
      <c r="H345" s="77"/>
      <c r="I345" s="44"/>
      <c r="J345" s="24" t="s">
        <v>293</v>
      </c>
      <c r="M345" s="219"/>
      <c r="N345" s="219"/>
      <c r="O345" s="219"/>
      <c r="P345" s="219"/>
      <c r="Q345" s="219"/>
      <c r="R345" s="219"/>
      <c r="S345" s="219"/>
      <c r="T345" s="219"/>
      <c r="U345" s="219"/>
      <c r="V345" s="219"/>
      <c r="W345" s="219"/>
      <c r="X345" s="219"/>
      <c r="Y345" s="219"/>
      <c r="Z345" s="219"/>
      <c r="AA345" s="219"/>
      <c r="AB345" s="219"/>
      <c r="AC345" s="219"/>
      <c r="AD345" s="219"/>
      <c r="AE345" s="219"/>
      <c r="AF345" s="219"/>
      <c r="AG345" s="219"/>
      <c r="AH345" s="219"/>
      <c r="AI345" s="219"/>
      <c r="AJ345" s="219"/>
      <c r="AK345" s="219"/>
      <c r="AL345" s="219"/>
      <c r="AM345" s="399"/>
      <c r="AN345" s="399"/>
      <c r="AO345" s="399"/>
      <c r="AP345" s="399"/>
    </row>
    <row r="346" spans="1:42" x14ac:dyDescent="0.25">
      <c r="A346" s="330"/>
      <c r="B346" s="125" t="s">
        <v>279</v>
      </c>
      <c r="C346" s="89" t="s">
        <v>294</v>
      </c>
      <c r="D346" s="93"/>
      <c r="E346" s="77"/>
      <c r="F346" s="77"/>
      <c r="G346" s="77"/>
      <c r="H346" s="77"/>
      <c r="I346" s="44"/>
      <c r="J346" s="24" t="s">
        <v>295</v>
      </c>
      <c r="M346" s="219"/>
      <c r="N346" s="219"/>
      <c r="O346" s="219"/>
      <c r="P346" s="219"/>
      <c r="Q346" s="219"/>
      <c r="R346" s="219"/>
      <c r="S346" s="219"/>
      <c r="T346" s="219"/>
      <c r="U346" s="219"/>
      <c r="V346" s="219"/>
      <c r="W346" s="219"/>
      <c r="X346" s="219"/>
      <c r="Y346" s="219"/>
      <c r="Z346" s="219"/>
      <c r="AA346" s="219"/>
      <c r="AB346" s="219"/>
      <c r="AC346" s="219"/>
      <c r="AD346" s="219"/>
      <c r="AE346" s="219"/>
      <c r="AF346" s="219"/>
      <c r="AG346" s="219"/>
      <c r="AH346" s="219"/>
      <c r="AI346" s="219"/>
      <c r="AJ346" s="219"/>
      <c r="AK346" s="219"/>
      <c r="AL346" s="219"/>
      <c r="AM346" s="399"/>
      <c r="AN346" s="399"/>
      <c r="AO346" s="399"/>
      <c r="AP346" s="399"/>
    </row>
    <row r="347" spans="1:42" x14ac:dyDescent="0.25">
      <c r="A347" s="330"/>
      <c r="B347" s="125" t="s">
        <v>279</v>
      </c>
      <c r="C347" s="89" t="s">
        <v>296</v>
      </c>
      <c r="D347" s="93"/>
      <c r="E347" s="77"/>
      <c r="F347" s="77"/>
      <c r="G347" s="77"/>
      <c r="H347" s="77"/>
      <c r="I347" s="44"/>
      <c r="J347" s="24" t="s">
        <v>297</v>
      </c>
      <c r="M347" s="219"/>
      <c r="N347" s="219"/>
      <c r="O347" s="219"/>
      <c r="P347" s="219"/>
      <c r="Q347" s="219"/>
      <c r="R347" s="219"/>
      <c r="S347" s="219"/>
      <c r="T347" s="219"/>
      <c r="U347" s="219"/>
      <c r="V347" s="219"/>
      <c r="W347" s="219"/>
      <c r="X347" s="219"/>
      <c r="Y347" s="219"/>
      <c r="Z347" s="219"/>
      <c r="AA347" s="219"/>
      <c r="AB347" s="219"/>
      <c r="AC347" s="219"/>
      <c r="AD347" s="219"/>
      <c r="AE347" s="219"/>
      <c r="AF347" s="219"/>
      <c r="AG347" s="219"/>
      <c r="AH347" s="219"/>
      <c r="AI347" s="219"/>
      <c r="AJ347" s="219"/>
      <c r="AK347" s="219"/>
      <c r="AL347" s="219"/>
      <c r="AM347" s="399"/>
      <c r="AN347" s="399"/>
      <c r="AO347" s="399"/>
      <c r="AP347" s="399"/>
    </row>
    <row r="348" spans="1:42" x14ac:dyDescent="0.25">
      <c r="A348" s="330"/>
      <c r="B348" s="125" t="s">
        <v>211</v>
      </c>
      <c r="C348" s="89" t="s">
        <v>298</v>
      </c>
      <c r="D348" s="93"/>
      <c r="E348" s="77"/>
      <c r="F348" s="77"/>
      <c r="G348" s="77"/>
      <c r="H348" s="77"/>
      <c r="I348" s="44"/>
      <c r="J348" s="24" t="s">
        <v>299</v>
      </c>
      <c r="M348" s="219"/>
      <c r="N348" s="219"/>
      <c r="O348" s="219"/>
      <c r="P348" s="219"/>
      <c r="Q348" s="219"/>
      <c r="R348" s="219"/>
      <c r="S348" s="219"/>
      <c r="T348" s="219"/>
      <c r="U348" s="219"/>
      <c r="V348" s="219"/>
      <c r="W348" s="219"/>
      <c r="X348" s="219"/>
      <c r="Y348" s="219"/>
      <c r="Z348" s="219"/>
      <c r="AA348" s="219"/>
      <c r="AB348" s="219"/>
      <c r="AC348" s="219"/>
      <c r="AD348" s="219"/>
      <c r="AE348" s="219"/>
      <c r="AF348" s="219"/>
      <c r="AG348" s="219"/>
      <c r="AH348" s="219"/>
      <c r="AI348" s="219"/>
      <c r="AJ348" s="219"/>
      <c r="AK348" s="219"/>
      <c r="AL348" s="219"/>
      <c r="AM348" s="399"/>
      <c r="AN348" s="399"/>
      <c r="AO348" s="399"/>
      <c r="AP348" s="399"/>
    </row>
    <row r="349" spans="1:42" x14ac:dyDescent="0.25">
      <c r="A349" s="330"/>
      <c r="B349" s="125" t="s">
        <v>279</v>
      </c>
      <c r="C349" s="89" t="s">
        <v>300</v>
      </c>
      <c r="D349" s="93"/>
      <c r="E349" s="77"/>
      <c r="F349" s="77"/>
      <c r="G349" s="77"/>
      <c r="H349" s="77"/>
      <c r="I349" s="44"/>
      <c r="J349" s="24" t="s">
        <v>301</v>
      </c>
      <c r="M349" s="219"/>
      <c r="N349" s="219"/>
      <c r="O349" s="219"/>
      <c r="P349" s="219"/>
      <c r="Q349" s="219"/>
      <c r="R349" s="219"/>
      <c r="S349" s="219"/>
      <c r="T349" s="219"/>
      <c r="U349" s="219"/>
      <c r="V349" s="219"/>
      <c r="W349" s="219"/>
      <c r="X349" s="219"/>
      <c r="Y349" s="219"/>
      <c r="Z349" s="219"/>
      <c r="AA349" s="219"/>
      <c r="AB349" s="219"/>
      <c r="AC349" s="219"/>
      <c r="AD349" s="219"/>
      <c r="AE349" s="219"/>
      <c r="AF349" s="219"/>
      <c r="AG349" s="219"/>
      <c r="AH349" s="219"/>
      <c r="AI349" s="219"/>
      <c r="AJ349" s="219"/>
      <c r="AK349" s="219"/>
      <c r="AL349" s="219"/>
      <c r="AM349" s="399"/>
      <c r="AN349" s="399"/>
      <c r="AO349" s="399"/>
      <c r="AP349" s="399"/>
    </row>
    <row r="350" spans="1:42" x14ac:dyDescent="0.25">
      <c r="A350" s="330"/>
      <c r="B350" s="125" t="s">
        <v>279</v>
      </c>
      <c r="C350" s="89" t="s">
        <v>302</v>
      </c>
      <c r="D350" s="93"/>
      <c r="E350" s="77"/>
      <c r="F350" s="77"/>
      <c r="G350" s="77"/>
      <c r="H350" s="77"/>
      <c r="I350" s="44"/>
      <c r="J350" s="24" t="s">
        <v>303</v>
      </c>
      <c r="M350" s="219"/>
      <c r="N350" s="219"/>
      <c r="O350" s="219"/>
      <c r="P350" s="219"/>
      <c r="Q350" s="219"/>
      <c r="R350" s="219"/>
      <c r="S350" s="219"/>
      <c r="T350" s="219"/>
      <c r="U350" s="219"/>
      <c r="V350" s="219"/>
      <c r="W350" s="219"/>
      <c r="X350" s="219"/>
      <c r="Y350" s="219"/>
      <c r="Z350" s="219"/>
      <c r="AA350" s="219"/>
      <c r="AB350" s="219"/>
      <c r="AC350" s="219"/>
      <c r="AD350" s="219"/>
      <c r="AE350" s="219"/>
      <c r="AF350" s="219"/>
      <c r="AG350" s="219"/>
      <c r="AH350" s="219"/>
      <c r="AI350" s="219"/>
      <c r="AJ350" s="219"/>
      <c r="AK350" s="219"/>
      <c r="AL350" s="219"/>
      <c r="AM350" s="399"/>
      <c r="AN350" s="399"/>
      <c r="AO350" s="399"/>
      <c r="AP350" s="399"/>
    </row>
    <row r="351" spans="1:42" x14ac:dyDescent="0.25">
      <c r="A351" s="59">
        <f>SUM(A340:A350)*25-(A344+A348)*15</f>
        <v>0</v>
      </c>
      <c r="B351" s="126" t="s">
        <v>1</v>
      </c>
      <c r="C351" s="58" t="s">
        <v>164</v>
      </c>
      <c r="D351" s="28"/>
      <c r="M351" s="219"/>
      <c r="N351" s="219"/>
      <c r="O351" s="219"/>
      <c r="P351" s="219"/>
      <c r="Q351" s="219"/>
      <c r="R351" s="219"/>
      <c r="S351" s="219"/>
      <c r="T351" s="219"/>
      <c r="U351" s="219"/>
      <c r="V351" s="219"/>
      <c r="W351" s="219"/>
      <c r="X351" s="219"/>
      <c r="Y351" s="219"/>
      <c r="Z351" s="219"/>
      <c r="AA351" s="219"/>
      <c r="AB351" s="219"/>
      <c r="AC351" s="219"/>
      <c r="AD351" s="219"/>
      <c r="AE351" s="219"/>
      <c r="AF351" s="219"/>
      <c r="AG351" s="219"/>
      <c r="AH351" s="219"/>
      <c r="AI351" s="219"/>
      <c r="AJ351" s="219"/>
      <c r="AK351" s="219"/>
      <c r="AL351" s="219"/>
      <c r="AM351" s="399"/>
      <c r="AN351" s="399"/>
      <c r="AO351" s="399"/>
      <c r="AP351" s="399"/>
    </row>
    <row r="352" spans="1:42" x14ac:dyDescent="0.25">
      <c r="M352" s="219"/>
      <c r="N352" s="219"/>
      <c r="O352" s="219"/>
      <c r="P352" s="219"/>
      <c r="Q352" s="219"/>
      <c r="R352" s="219"/>
      <c r="S352" s="219"/>
      <c r="T352" s="219"/>
      <c r="U352" s="219"/>
      <c r="V352" s="219"/>
      <c r="W352" s="219"/>
      <c r="X352" s="219"/>
      <c r="Y352" s="219"/>
      <c r="Z352" s="219"/>
      <c r="AA352" s="219"/>
      <c r="AB352" s="219"/>
      <c r="AC352" s="219"/>
      <c r="AD352" s="219"/>
      <c r="AE352" s="219"/>
      <c r="AF352" s="219"/>
      <c r="AG352" s="219"/>
      <c r="AH352" s="219"/>
      <c r="AI352" s="219"/>
      <c r="AJ352" s="219"/>
      <c r="AK352" s="219"/>
      <c r="AL352" s="219"/>
      <c r="AM352" s="399"/>
      <c r="AN352" s="399"/>
      <c r="AO352" s="399"/>
      <c r="AP352" s="399"/>
    </row>
    <row r="353" spans="1:42" ht="28.5" x14ac:dyDescent="0.25">
      <c r="A353" s="67" t="s">
        <v>304</v>
      </c>
      <c r="B353" s="67"/>
      <c r="C353" s="67"/>
      <c r="D353" s="67"/>
      <c r="E353" s="67"/>
      <c r="F353" s="67"/>
      <c r="G353" s="67"/>
      <c r="M353" s="219"/>
      <c r="N353" s="219"/>
      <c r="O353" s="219"/>
      <c r="P353" s="219" t="s">
        <v>169</v>
      </c>
      <c r="Q353" s="219"/>
      <c r="R353" s="219"/>
      <c r="S353" s="219"/>
      <c r="T353" s="219"/>
      <c r="U353" s="219"/>
      <c r="V353" s="219"/>
      <c r="W353" s="219"/>
      <c r="X353" s="219"/>
      <c r="Y353" s="219"/>
      <c r="Z353" s="219"/>
      <c r="AA353" s="219"/>
      <c r="AB353" s="219"/>
      <c r="AC353" s="219"/>
      <c r="AD353" s="219"/>
      <c r="AE353" s="219"/>
      <c r="AF353" s="219"/>
      <c r="AG353" s="219"/>
      <c r="AH353" s="219"/>
      <c r="AI353" s="219"/>
      <c r="AJ353" s="219"/>
      <c r="AK353" s="219"/>
      <c r="AL353" s="219"/>
      <c r="AM353" s="399"/>
      <c r="AN353" s="399"/>
      <c r="AO353" s="399"/>
      <c r="AP353" s="399"/>
    </row>
    <row r="354" spans="1:42" x14ac:dyDescent="0.25">
      <c r="A354" s="368" t="s">
        <v>0</v>
      </c>
      <c r="B354" s="369"/>
      <c r="C354" s="368" t="s">
        <v>165</v>
      </c>
      <c r="D354" s="71"/>
      <c r="E354" s="27"/>
      <c r="F354" s="27"/>
      <c r="G354" s="27"/>
      <c r="H354" s="27"/>
      <c r="I354" s="100"/>
      <c r="J354" s="130" t="s">
        <v>281</v>
      </c>
      <c r="M354" s="219"/>
      <c r="N354" s="219"/>
      <c r="O354" s="219"/>
      <c r="P354" s="219"/>
      <c r="Q354" s="219"/>
      <c r="R354" s="219"/>
      <c r="S354" s="219"/>
      <c r="T354" s="219"/>
      <c r="U354" s="219"/>
      <c r="V354" s="219"/>
      <c r="W354" s="219"/>
      <c r="X354" s="219"/>
      <c r="Y354" s="219"/>
      <c r="Z354" s="219"/>
      <c r="AA354" s="219"/>
      <c r="AB354" s="219"/>
      <c r="AC354" s="219"/>
      <c r="AD354" s="219"/>
      <c r="AE354" s="219"/>
      <c r="AF354" s="219"/>
      <c r="AG354" s="219"/>
      <c r="AH354" s="219"/>
      <c r="AI354" s="219"/>
      <c r="AJ354" s="219"/>
      <c r="AK354" s="219"/>
      <c r="AL354" s="219"/>
      <c r="AM354" s="399"/>
      <c r="AN354" s="399"/>
      <c r="AO354" s="399"/>
      <c r="AP354" s="399"/>
    </row>
    <row r="355" spans="1:42" x14ac:dyDescent="0.25">
      <c r="A355" s="370"/>
      <c r="B355" s="371"/>
      <c r="C355" s="370"/>
      <c r="D355" s="74"/>
      <c r="H355" s="76"/>
      <c r="I355" s="43"/>
      <c r="J355" s="131"/>
      <c r="M355" s="219"/>
      <c r="N355" s="219"/>
      <c r="O355" s="219"/>
      <c r="P355" s="219"/>
      <c r="Q355" s="219"/>
      <c r="R355" s="219"/>
      <c r="S355" s="219"/>
      <c r="T355" s="219"/>
      <c r="U355" s="219"/>
      <c r="V355" s="219"/>
      <c r="W355" s="219"/>
      <c r="X355" s="219"/>
      <c r="Y355" s="219"/>
      <c r="Z355" s="219"/>
      <c r="AA355" s="219"/>
      <c r="AB355" s="219"/>
      <c r="AC355" s="219"/>
      <c r="AD355" s="219"/>
      <c r="AE355" s="219"/>
      <c r="AF355" s="219"/>
      <c r="AG355" s="219"/>
      <c r="AH355" s="219"/>
      <c r="AI355" s="219"/>
      <c r="AJ355" s="219"/>
      <c r="AK355" s="219"/>
      <c r="AL355" s="219"/>
      <c r="AM355" s="399"/>
      <c r="AN355" s="399"/>
      <c r="AO355" s="399"/>
      <c r="AP355" s="399"/>
    </row>
    <row r="356" spans="1:42" x14ac:dyDescent="0.25">
      <c r="A356" s="337"/>
      <c r="B356" s="44" t="s">
        <v>1</v>
      </c>
      <c r="C356" s="96" t="s">
        <v>305</v>
      </c>
      <c r="D356" s="97"/>
      <c r="E356" s="77"/>
      <c r="F356" s="77"/>
      <c r="G356" s="77"/>
      <c r="H356" s="77"/>
      <c r="I356" s="44"/>
      <c r="J356" s="107" t="s">
        <v>306</v>
      </c>
      <c r="M356" s="219"/>
      <c r="N356" s="219"/>
      <c r="O356" s="219"/>
      <c r="P356" s="219"/>
      <c r="Q356" s="219"/>
      <c r="R356" s="219"/>
      <c r="S356" s="219"/>
      <c r="T356" s="219"/>
      <c r="U356" s="219"/>
      <c r="V356" s="219"/>
      <c r="W356" s="219"/>
      <c r="X356" s="219"/>
      <c r="Y356" s="219"/>
      <c r="Z356" s="219"/>
      <c r="AA356" s="219"/>
      <c r="AB356" s="219"/>
      <c r="AC356" s="219"/>
      <c r="AD356" s="219"/>
      <c r="AE356" s="219"/>
      <c r="AF356" s="219"/>
      <c r="AG356" s="219"/>
      <c r="AH356" s="219"/>
      <c r="AI356" s="219"/>
      <c r="AJ356" s="219"/>
      <c r="AK356" s="219"/>
      <c r="AL356" s="219"/>
      <c r="AM356" s="399"/>
      <c r="AN356" s="399"/>
      <c r="AO356" s="399"/>
      <c r="AP356" s="399"/>
    </row>
    <row r="357" spans="1:42" x14ac:dyDescent="0.25">
      <c r="A357" s="337"/>
      <c r="B357" s="44" t="s">
        <v>1</v>
      </c>
      <c r="C357" s="111" t="s">
        <v>307</v>
      </c>
      <c r="D357" s="99"/>
      <c r="E357" s="77"/>
      <c r="F357" s="77"/>
      <c r="G357" s="77"/>
      <c r="H357" s="77"/>
      <c r="I357" s="44"/>
      <c r="J357" s="107" t="s">
        <v>308</v>
      </c>
      <c r="M357" s="219"/>
      <c r="N357" s="219"/>
      <c r="O357" s="219"/>
      <c r="P357" s="219"/>
      <c r="Q357" s="219"/>
      <c r="R357" s="219"/>
      <c r="S357" s="219"/>
      <c r="T357" s="219"/>
      <c r="U357" s="219"/>
      <c r="V357" s="219"/>
      <c r="W357" s="219"/>
      <c r="X357" s="219"/>
      <c r="Y357" s="219"/>
      <c r="Z357" s="219"/>
      <c r="AA357" s="219"/>
      <c r="AB357" s="219"/>
      <c r="AC357" s="219"/>
      <c r="AD357" s="219"/>
      <c r="AE357" s="219"/>
      <c r="AF357" s="219"/>
      <c r="AG357" s="219"/>
      <c r="AH357" s="219"/>
      <c r="AI357" s="219"/>
      <c r="AJ357" s="219"/>
      <c r="AK357" s="219"/>
      <c r="AL357" s="219"/>
      <c r="AM357" s="399"/>
      <c r="AN357" s="399"/>
      <c r="AO357" s="399"/>
      <c r="AP357" s="399"/>
    </row>
    <row r="358" spans="1:42" x14ac:dyDescent="0.25">
      <c r="M358" s="219"/>
      <c r="N358" s="219"/>
      <c r="O358" s="219"/>
      <c r="P358" s="219"/>
      <c r="Q358" s="219"/>
      <c r="R358" s="219"/>
      <c r="S358" s="219"/>
      <c r="T358" s="219"/>
      <c r="U358" s="219"/>
      <c r="V358" s="219"/>
      <c r="W358" s="219"/>
      <c r="X358" s="219"/>
      <c r="Y358" s="219"/>
      <c r="Z358" s="219"/>
      <c r="AA358" s="219"/>
      <c r="AB358" s="219"/>
      <c r="AC358" s="219"/>
      <c r="AD358" s="219"/>
      <c r="AE358" s="219"/>
      <c r="AF358" s="219"/>
      <c r="AG358" s="219"/>
      <c r="AH358" s="219"/>
      <c r="AI358" s="219"/>
      <c r="AJ358" s="219"/>
      <c r="AK358" s="219"/>
      <c r="AL358" s="219"/>
      <c r="AM358" s="399"/>
      <c r="AN358" s="399"/>
      <c r="AO358" s="399"/>
      <c r="AP358" s="399"/>
    </row>
    <row r="359" spans="1:42" ht="28.5" x14ac:dyDescent="0.25">
      <c r="A359" s="67" t="s">
        <v>309</v>
      </c>
      <c r="B359" s="67"/>
      <c r="C359" s="67"/>
      <c r="D359" s="67"/>
      <c r="E359" s="67"/>
      <c r="F359" s="67"/>
      <c r="G359" s="67"/>
      <c r="M359" s="219"/>
      <c r="N359" s="219"/>
      <c r="O359" s="219"/>
      <c r="P359" s="219"/>
      <c r="Q359" s="219"/>
      <c r="R359" s="219"/>
      <c r="S359" s="219"/>
      <c r="T359" s="219"/>
      <c r="U359" s="219"/>
      <c r="V359" s="219"/>
      <c r="W359" s="219"/>
      <c r="X359" s="219"/>
      <c r="Y359" s="219"/>
      <c r="Z359" s="219"/>
      <c r="AA359" s="219"/>
      <c r="AB359" s="219"/>
      <c r="AC359" s="219"/>
      <c r="AD359" s="219"/>
      <c r="AE359" s="219"/>
      <c r="AF359" s="219"/>
      <c r="AG359" s="219"/>
      <c r="AH359" s="219"/>
      <c r="AI359" s="219"/>
      <c r="AJ359" s="219"/>
      <c r="AK359" s="219"/>
      <c r="AL359" s="219"/>
      <c r="AM359" s="399"/>
      <c r="AN359" s="399"/>
      <c r="AO359" s="399"/>
      <c r="AP359" s="399"/>
    </row>
    <row r="360" spans="1:42" x14ac:dyDescent="0.25">
      <c r="A360" s="368" t="s">
        <v>0</v>
      </c>
      <c r="B360" s="369"/>
      <c r="C360" s="368" t="s">
        <v>165</v>
      </c>
      <c r="D360" s="101"/>
      <c r="E360" s="27"/>
      <c r="F360" s="27"/>
      <c r="G360" s="27"/>
      <c r="H360" s="27"/>
      <c r="I360" s="100"/>
      <c r="J360" s="130" t="s">
        <v>281</v>
      </c>
      <c r="M360" s="219"/>
      <c r="N360" s="219"/>
      <c r="O360" s="219"/>
      <c r="P360" s="219"/>
      <c r="Q360" s="219"/>
      <c r="R360" s="219"/>
      <c r="S360" s="219"/>
      <c r="T360" s="219"/>
      <c r="U360" s="219"/>
      <c r="V360" s="219"/>
      <c r="W360" s="219"/>
      <c r="X360" s="219"/>
      <c r="Y360" s="219"/>
      <c r="Z360" s="219"/>
      <c r="AA360" s="219"/>
      <c r="AB360" s="219"/>
      <c r="AC360" s="219"/>
      <c r="AD360" s="219"/>
      <c r="AE360" s="219"/>
      <c r="AF360" s="219"/>
      <c r="AG360" s="219"/>
      <c r="AH360" s="219"/>
      <c r="AI360" s="219"/>
      <c r="AJ360" s="219"/>
      <c r="AK360" s="219"/>
      <c r="AL360" s="219"/>
      <c r="AM360" s="399"/>
      <c r="AN360" s="399"/>
      <c r="AO360" s="399"/>
      <c r="AP360" s="399"/>
    </row>
    <row r="361" spans="1:42" x14ac:dyDescent="0.25">
      <c r="A361" s="370"/>
      <c r="B361" s="371"/>
      <c r="C361" s="370"/>
      <c r="D361" s="102"/>
      <c r="E361" s="76"/>
      <c r="F361" s="76"/>
      <c r="G361" s="76"/>
      <c r="H361" s="76"/>
      <c r="I361" s="43"/>
      <c r="J361" s="131"/>
      <c r="M361" s="219"/>
      <c r="N361" s="219"/>
      <c r="O361" s="219"/>
      <c r="P361" s="219"/>
      <c r="Q361" s="219"/>
      <c r="R361" s="219"/>
      <c r="S361" s="219"/>
      <c r="T361" s="219"/>
      <c r="U361" s="219"/>
      <c r="V361" s="219"/>
      <c r="W361" s="219"/>
      <c r="X361" s="219"/>
      <c r="Y361" s="219"/>
      <c r="Z361" s="219"/>
      <c r="AA361" s="219"/>
      <c r="AB361" s="219"/>
      <c r="AC361" s="219"/>
      <c r="AD361" s="219"/>
      <c r="AE361" s="219"/>
      <c r="AF361" s="219"/>
      <c r="AG361" s="219"/>
      <c r="AH361" s="219"/>
      <c r="AI361" s="219"/>
      <c r="AJ361" s="219"/>
      <c r="AK361" s="219"/>
      <c r="AL361" s="219"/>
      <c r="AM361" s="399"/>
      <c r="AN361" s="399"/>
      <c r="AO361" s="399"/>
      <c r="AP361" s="399"/>
    </row>
    <row r="362" spans="1:42" x14ac:dyDescent="0.25">
      <c r="A362" s="337"/>
      <c r="B362" s="48" t="s">
        <v>1</v>
      </c>
      <c r="C362" s="96" t="s">
        <v>310</v>
      </c>
      <c r="D362" s="77"/>
      <c r="E362" s="77"/>
      <c r="F362" s="77"/>
      <c r="G362" s="77"/>
      <c r="H362" s="77"/>
      <c r="I362" s="77"/>
      <c r="J362" s="107" t="s">
        <v>311</v>
      </c>
      <c r="M362" s="219"/>
      <c r="N362" s="219"/>
      <c r="O362" s="219"/>
      <c r="P362" s="219"/>
      <c r="Q362" s="219"/>
      <c r="R362" s="219"/>
      <c r="S362" s="219"/>
      <c r="T362" s="219"/>
      <c r="U362" s="219"/>
      <c r="V362" s="219"/>
      <c r="W362" s="219"/>
      <c r="X362" s="219"/>
      <c r="Y362" s="219"/>
      <c r="Z362" s="219"/>
      <c r="AA362" s="219"/>
      <c r="AB362" s="219"/>
      <c r="AC362" s="219"/>
      <c r="AD362" s="219"/>
      <c r="AE362" s="219"/>
      <c r="AF362" s="219"/>
      <c r="AG362" s="219"/>
      <c r="AH362" s="219"/>
      <c r="AI362" s="219"/>
      <c r="AJ362" s="219"/>
      <c r="AK362" s="219"/>
      <c r="AL362" s="219"/>
      <c r="AM362" s="399"/>
      <c r="AN362" s="399"/>
      <c r="AO362" s="399"/>
      <c r="AP362" s="399"/>
    </row>
    <row r="363" spans="1:42" x14ac:dyDescent="0.25">
      <c r="A363" s="337"/>
      <c r="B363" s="48" t="s">
        <v>1</v>
      </c>
      <c r="C363" s="96" t="s">
        <v>312</v>
      </c>
      <c r="D363" s="77"/>
      <c r="E363" s="77"/>
      <c r="F363" s="77"/>
      <c r="G363" s="77"/>
      <c r="H363" s="77"/>
      <c r="I363" s="77"/>
      <c r="J363" s="107" t="s">
        <v>313</v>
      </c>
      <c r="M363" s="219"/>
      <c r="N363" s="219"/>
      <c r="O363" s="219"/>
      <c r="P363" s="219"/>
      <c r="Q363" s="219"/>
      <c r="R363" s="219"/>
      <c r="S363" s="219"/>
      <c r="T363" s="219"/>
      <c r="U363" s="219"/>
      <c r="V363" s="219"/>
      <c r="W363" s="219"/>
      <c r="X363" s="219"/>
      <c r="Y363" s="219"/>
      <c r="Z363" s="219"/>
      <c r="AA363" s="219"/>
      <c r="AB363" s="219"/>
      <c r="AC363" s="219"/>
      <c r="AD363" s="219"/>
      <c r="AE363" s="219"/>
      <c r="AF363" s="219"/>
      <c r="AG363" s="219"/>
      <c r="AH363" s="219"/>
      <c r="AI363" s="219"/>
      <c r="AJ363" s="219"/>
      <c r="AK363" s="219"/>
      <c r="AL363" s="219"/>
      <c r="AM363" s="399"/>
      <c r="AN363" s="399"/>
      <c r="AO363" s="399"/>
      <c r="AP363" s="399"/>
    </row>
    <row r="364" spans="1:42" x14ac:dyDescent="0.25">
      <c r="A364" s="337"/>
      <c r="B364" s="48" t="s">
        <v>1</v>
      </c>
      <c r="C364" s="111" t="s">
        <v>314</v>
      </c>
      <c r="D364" s="77"/>
      <c r="E364" s="77"/>
      <c r="F364" s="77"/>
      <c r="G364" s="77"/>
      <c r="H364" s="77"/>
      <c r="I364" s="77"/>
      <c r="J364" s="116">
        <v>5</v>
      </c>
      <c r="M364" s="219"/>
      <c r="N364" s="219"/>
      <c r="O364" s="219"/>
      <c r="P364" s="219"/>
      <c r="Q364" s="219"/>
      <c r="R364" s="219"/>
      <c r="S364" s="219"/>
      <c r="T364" s="219"/>
      <c r="U364" s="219"/>
      <c r="V364" s="219"/>
      <c r="W364" s="219"/>
      <c r="X364" s="219"/>
      <c r="Y364" s="219"/>
      <c r="Z364" s="219"/>
      <c r="AA364" s="219"/>
      <c r="AB364" s="219"/>
      <c r="AC364" s="219"/>
      <c r="AD364" s="219"/>
      <c r="AE364" s="219"/>
      <c r="AF364" s="219"/>
      <c r="AG364" s="219"/>
      <c r="AH364" s="219"/>
      <c r="AI364" s="219"/>
      <c r="AJ364" s="219"/>
      <c r="AK364" s="219"/>
      <c r="AL364" s="219"/>
      <c r="AM364" s="399"/>
      <c r="AN364" s="399"/>
      <c r="AO364" s="399"/>
      <c r="AP364" s="399"/>
    </row>
    <row r="365" spans="1:42" x14ac:dyDescent="0.25">
      <c r="A365" s="337"/>
      <c r="B365" s="48" t="s">
        <v>1</v>
      </c>
      <c r="C365" s="111" t="s">
        <v>315</v>
      </c>
      <c r="D365" s="77"/>
      <c r="E365" s="77"/>
      <c r="F365" s="77"/>
      <c r="G365" s="77"/>
      <c r="H365" s="77"/>
      <c r="I365" s="77"/>
      <c r="J365" s="116">
        <v>5</v>
      </c>
      <c r="M365" s="219"/>
      <c r="N365" s="219"/>
      <c r="O365" s="219"/>
      <c r="P365" s="219"/>
      <c r="Q365" s="219"/>
      <c r="R365" s="219"/>
      <c r="S365" s="219"/>
      <c r="T365" s="219"/>
      <c r="U365" s="219"/>
      <c r="V365" s="219"/>
      <c r="W365" s="219"/>
      <c r="X365" s="219"/>
      <c r="Y365" s="219"/>
      <c r="Z365" s="219"/>
      <c r="AA365" s="219"/>
      <c r="AB365" s="219"/>
      <c r="AC365" s="219"/>
      <c r="AD365" s="219"/>
      <c r="AE365" s="219"/>
      <c r="AF365" s="219"/>
      <c r="AG365" s="219"/>
      <c r="AH365" s="219"/>
      <c r="AI365" s="219"/>
      <c r="AJ365" s="219"/>
      <c r="AK365" s="219"/>
      <c r="AL365" s="219"/>
      <c r="AM365" s="399"/>
      <c r="AN365" s="399"/>
      <c r="AO365" s="399"/>
      <c r="AP365" s="399"/>
    </row>
    <row r="366" spans="1:42" x14ac:dyDescent="0.25">
      <c r="A366" s="337"/>
      <c r="B366" s="48" t="s">
        <v>1</v>
      </c>
      <c r="C366" s="111" t="s">
        <v>316</v>
      </c>
      <c r="D366" s="77"/>
      <c r="E366" s="77"/>
      <c r="F366" s="77"/>
      <c r="G366" s="77"/>
      <c r="H366" s="77"/>
      <c r="I366" s="77"/>
      <c r="J366" s="114">
        <v>5</v>
      </c>
      <c r="M366" s="219"/>
      <c r="N366" s="219"/>
      <c r="O366" s="219"/>
      <c r="P366" s="219"/>
      <c r="Q366" s="219"/>
      <c r="R366" s="219"/>
      <c r="S366" s="219"/>
      <c r="T366" s="219"/>
      <c r="U366" s="219"/>
      <c r="V366" s="219"/>
      <c r="W366" s="219"/>
      <c r="X366" s="219"/>
      <c r="Y366" s="219"/>
      <c r="Z366" s="219"/>
      <c r="AA366" s="219"/>
      <c r="AB366" s="219"/>
      <c r="AC366" s="219"/>
      <c r="AD366" s="219"/>
      <c r="AE366" s="219"/>
      <c r="AF366" s="219"/>
      <c r="AG366" s="219"/>
      <c r="AH366" s="219"/>
      <c r="AI366" s="219"/>
      <c r="AJ366" s="219"/>
      <c r="AK366" s="219"/>
      <c r="AL366" s="219"/>
      <c r="AM366" s="399"/>
      <c r="AN366" s="399"/>
      <c r="AO366" s="399"/>
      <c r="AP366" s="399"/>
    </row>
    <row r="367" spans="1:42" x14ac:dyDescent="0.25">
      <c r="A367" s="337"/>
      <c r="B367" s="48" t="s">
        <v>1</v>
      </c>
      <c r="C367" s="96" t="s">
        <v>333</v>
      </c>
      <c r="D367" s="77"/>
      <c r="E367" s="77"/>
      <c r="F367" s="77"/>
      <c r="G367" s="77"/>
      <c r="H367" s="77"/>
      <c r="I367" s="77"/>
      <c r="J367" s="116">
        <v>10</v>
      </c>
      <c r="M367" s="219"/>
      <c r="N367" s="219"/>
      <c r="O367" s="219"/>
      <c r="P367" s="219"/>
      <c r="Q367" s="219"/>
      <c r="R367" s="219"/>
      <c r="S367" s="219"/>
      <c r="T367" s="219"/>
      <c r="U367" s="219"/>
      <c r="V367" s="219"/>
      <c r="W367" s="219"/>
      <c r="X367" s="219"/>
      <c r="Y367" s="219"/>
      <c r="Z367" s="219"/>
      <c r="AA367" s="219"/>
      <c r="AB367" s="219"/>
      <c r="AC367" s="219"/>
      <c r="AD367" s="219"/>
      <c r="AE367" s="219"/>
      <c r="AF367" s="219"/>
      <c r="AG367" s="219"/>
      <c r="AH367" s="219"/>
      <c r="AI367" s="219"/>
      <c r="AJ367" s="219"/>
      <c r="AK367" s="219"/>
      <c r="AL367" s="219"/>
      <c r="AM367" s="399"/>
      <c r="AN367" s="399"/>
      <c r="AO367" s="399"/>
      <c r="AP367" s="399"/>
    </row>
    <row r="368" spans="1:42" x14ac:dyDescent="0.25">
      <c r="A368" s="337"/>
      <c r="B368" s="48" t="s">
        <v>1</v>
      </c>
      <c r="C368" s="113" t="s">
        <v>317</v>
      </c>
      <c r="D368" s="77"/>
      <c r="E368" s="77"/>
      <c r="F368" s="77"/>
      <c r="G368" s="77"/>
      <c r="H368" s="77"/>
      <c r="I368" s="77"/>
      <c r="J368" s="116">
        <v>10</v>
      </c>
      <c r="M368" s="219"/>
      <c r="N368" s="219"/>
      <c r="O368" s="219"/>
      <c r="P368" s="219"/>
      <c r="Q368" s="219"/>
      <c r="R368" s="219"/>
      <c r="S368" s="219"/>
      <c r="T368" s="219"/>
      <c r="U368" s="219"/>
      <c r="V368" s="219"/>
      <c r="W368" s="219"/>
      <c r="X368" s="219"/>
      <c r="Y368" s="219"/>
      <c r="Z368" s="219"/>
      <c r="AA368" s="219"/>
      <c r="AB368" s="219"/>
      <c r="AC368" s="219"/>
      <c r="AD368" s="219"/>
      <c r="AE368" s="219"/>
      <c r="AF368" s="219"/>
      <c r="AG368" s="219"/>
      <c r="AH368" s="219"/>
      <c r="AI368" s="219"/>
      <c r="AJ368" s="219"/>
      <c r="AK368" s="219"/>
      <c r="AL368" s="219"/>
      <c r="AM368" s="399"/>
      <c r="AN368" s="399"/>
      <c r="AO368" s="399"/>
      <c r="AP368" s="399"/>
    </row>
    <row r="369" spans="1:42" x14ac:dyDescent="0.25">
      <c r="A369" s="337"/>
      <c r="B369" s="48" t="s">
        <v>1</v>
      </c>
      <c r="C369" s="96" t="s">
        <v>944</v>
      </c>
      <c r="D369" s="77"/>
      <c r="E369" s="77"/>
      <c r="F369" s="77"/>
      <c r="G369" s="77"/>
      <c r="H369" s="77"/>
      <c r="I369" s="44"/>
      <c r="J369" s="328"/>
      <c r="M369" s="219"/>
      <c r="N369" s="219"/>
      <c r="O369" s="219"/>
      <c r="P369" s="219"/>
      <c r="Q369" s="219"/>
      <c r="R369" s="219"/>
      <c r="S369" s="219"/>
      <c r="T369" s="219"/>
      <c r="U369" s="219"/>
      <c r="V369" s="219"/>
      <c r="W369" s="219"/>
      <c r="X369" s="219"/>
      <c r="Y369" s="219"/>
      <c r="Z369" s="219"/>
      <c r="AA369" s="219"/>
      <c r="AB369" s="219"/>
      <c r="AC369" s="219"/>
      <c r="AD369" s="219"/>
      <c r="AE369" s="219"/>
      <c r="AF369" s="219"/>
      <c r="AG369" s="219"/>
      <c r="AH369" s="219"/>
      <c r="AI369" s="219"/>
      <c r="AJ369" s="219"/>
      <c r="AK369" s="219"/>
      <c r="AL369" s="219"/>
      <c r="AM369" s="399"/>
      <c r="AN369" s="399"/>
      <c r="AO369" s="399"/>
      <c r="AP369" s="399"/>
    </row>
    <row r="370" spans="1:42" x14ac:dyDescent="0.25">
      <c r="M370" s="219"/>
      <c r="N370" s="219"/>
      <c r="O370" s="219"/>
      <c r="P370" s="219"/>
      <c r="Q370" s="219"/>
      <c r="R370" s="219"/>
      <c r="S370" s="219"/>
      <c r="T370" s="219"/>
      <c r="U370" s="219"/>
      <c r="V370" s="219"/>
      <c r="W370" s="219"/>
      <c r="X370" s="219"/>
      <c r="Y370" s="219"/>
      <c r="Z370" s="219"/>
      <c r="AA370" s="219"/>
      <c r="AB370" s="219"/>
      <c r="AC370" s="219"/>
      <c r="AD370" s="219"/>
      <c r="AE370" s="219"/>
      <c r="AF370" s="219"/>
      <c r="AG370" s="219"/>
      <c r="AH370" s="219"/>
      <c r="AI370" s="219"/>
      <c r="AJ370" s="219"/>
      <c r="AK370" s="219"/>
      <c r="AL370" s="219"/>
      <c r="AM370" s="399"/>
      <c r="AN370" s="399"/>
      <c r="AO370" s="399"/>
      <c r="AP370" s="399"/>
    </row>
    <row r="371" spans="1:42" ht="28.5" x14ac:dyDescent="0.25">
      <c r="A371" s="67" t="s">
        <v>318</v>
      </c>
      <c r="B371" s="67"/>
      <c r="C371" s="67"/>
      <c r="D371" s="67"/>
      <c r="E371" s="67"/>
      <c r="F371" s="67"/>
      <c r="G371" s="67"/>
      <c r="M371" s="219"/>
      <c r="N371" s="219"/>
      <c r="O371" s="219"/>
      <c r="P371" s="219"/>
      <c r="Q371" s="219"/>
      <c r="R371" s="219"/>
      <c r="S371" s="219"/>
      <c r="T371" s="219"/>
      <c r="U371" s="219"/>
      <c r="V371" s="219"/>
      <c r="W371" s="219"/>
      <c r="X371" s="219"/>
      <c r="Y371" s="219"/>
      <c r="Z371" s="219"/>
      <c r="AA371" s="219"/>
      <c r="AB371" s="219"/>
      <c r="AC371" s="219"/>
      <c r="AD371" s="219"/>
      <c r="AE371" s="219"/>
      <c r="AF371" s="219"/>
      <c r="AG371" s="219"/>
      <c r="AH371" s="219"/>
      <c r="AI371" s="219"/>
      <c r="AJ371" s="219"/>
      <c r="AK371" s="219"/>
      <c r="AL371" s="219"/>
      <c r="AM371" s="399"/>
      <c r="AN371" s="399"/>
      <c r="AO371" s="399"/>
      <c r="AP371" s="399"/>
    </row>
    <row r="372" spans="1:42" x14ac:dyDescent="0.25">
      <c r="A372" s="368" t="s">
        <v>0</v>
      </c>
      <c r="B372" s="369"/>
      <c r="C372" s="368" t="s">
        <v>165</v>
      </c>
      <c r="D372" s="101"/>
      <c r="E372" s="27"/>
      <c r="F372" s="27"/>
      <c r="G372" s="27"/>
      <c r="H372" s="27"/>
      <c r="I372" s="100"/>
      <c r="J372" s="130" t="s">
        <v>281</v>
      </c>
      <c r="M372" s="219"/>
      <c r="N372" s="219"/>
      <c r="O372" s="219"/>
      <c r="P372" s="219"/>
      <c r="Q372" s="219"/>
      <c r="R372" s="219"/>
      <c r="S372" s="219"/>
      <c r="T372" s="219"/>
      <c r="U372" s="219"/>
      <c r="V372" s="219"/>
      <c r="W372" s="219"/>
      <c r="X372" s="219"/>
      <c r="Y372" s="219"/>
      <c r="Z372" s="219"/>
      <c r="AA372" s="219"/>
      <c r="AB372" s="219"/>
      <c r="AC372" s="219"/>
      <c r="AD372" s="219"/>
      <c r="AE372" s="219"/>
      <c r="AF372" s="219"/>
      <c r="AG372" s="219"/>
      <c r="AH372" s="219"/>
      <c r="AI372" s="219"/>
      <c r="AJ372" s="219"/>
      <c r="AK372" s="219"/>
      <c r="AL372" s="219"/>
      <c r="AM372" s="399"/>
      <c r="AN372" s="399"/>
      <c r="AO372" s="399"/>
      <c r="AP372" s="399"/>
    </row>
    <row r="373" spans="1:42" x14ac:dyDescent="0.25">
      <c r="A373" s="370"/>
      <c r="B373" s="371"/>
      <c r="C373" s="370"/>
      <c r="D373" s="102"/>
      <c r="E373" s="76"/>
      <c r="F373" s="76"/>
      <c r="G373" s="76"/>
      <c r="H373" s="76"/>
      <c r="I373" s="43"/>
      <c r="J373" s="131"/>
      <c r="M373" s="219"/>
      <c r="N373" s="219"/>
      <c r="O373" s="219"/>
      <c r="P373" s="219"/>
      <c r="Q373" s="219"/>
      <c r="R373" s="219"/>
      <c r="S373" s="219"/>
      <c r="T373" s="219"/>
      <c r="U373" s="219"/>
      <c r="V373" s="219"/>
      <c r="W373" s="219"/>
      <c r="X373" s="219"/>
      <c r="Y373" s="219"/>
      <c r="Z373" s="219"/>
      <c r="AA373" s="219"/>
      <c r="AB373" s="219"/>
      <c r="AC373" s="219"/>
      <c r="AD373" s="219"/>
      <c r="AE373" s="219"/>
      <c r="AF373" s="219"/>
      <c r="AG373" s="219"/>
      <c r="AH373" s="219"/>
      <c r="AI373" s="219"/>
      <c r="AJ373" s="219"/>
      <c r="AK373" s="219"/>
      <c r="AL373" s="219"/>
      <c r="AM373" s="399"/>
      <c r="AN373" s="399"/>
      <c r="AO373" s="399"/>
      <c r="AP373" s="399"/>
    </row>
    <row r="374" spans="1:42" x14ac:dyDescent="0.25">
      <c r="A374" s="337"/>
      <c r="B374" s="48" t="s">
        <v>1</v>
      </c>
      <c r="C374" s="96" t="s">
        <v>319</v>
      </c>
      <c r="D374" s="77"/>
      <c r="E374" s="77"/>
      <c r="F374" s="77"/>
      <c r="G374" s="77"/>
      <c r="H374" s="77"/>
      <c r="I374" s="77"/>
      <c r="J374" s="115">
        <v>2.5</v>
      </c>
      <c r="M374" s="219"/>
      <c r="N374" s="219"/>
      <c r="O374" s="219"/>
      <c r="P374" s="219"/>
      <c r="Q374" s="219"/>
      <c r="R374" s="219"/>
      <c r="S374" s="219"/>
      <c r="T374" s="219"/>
      <c r="U374" s="219"/>
      <c r="V374" s="219"/>
      <c r="W374" s="219"/>
      <c r="X374" s="219"/>
      <c r="Y374" s="219"/>
      <c r="Z374" s="219"/>
      <c r="AA374" s="219"/>
      <c r="AB374" s="219"/>
      <c r="AC374" s="219"/>
      <c r="AD374" s="219"/>
      <c r="AE374" s="219"/>
      <c r="AF374" s="219"/>
      <c r="AG374" s="219"/>
      <c r="AH374" s="219"/>
      <c r="AI374" s="219"/>
      <c r="AJ374" s="219"/>
      <c r="AK374" s="219"/>
      <c r="AL374" s="219"/>
      <c r="AM374" s="399"/>
      <c r="AN374" s="399"/>
      <c r="AO374" s="399"/>
      <c r="AP374" s="399"/>
    </row>
    <row r="375" spans="1:42" x14ac:dyDescent="0.25">
      <c r="A375" s="337"/>
      <c r="B375" s="48" t="s">
        <v>1</v>
      </c>
      <c r="C375" s="96" t="s">
        <v>320</v>
      </c>
      <c r="D375" s="77"/>
      <c r="E375" s="77"/>
      <c r="F375" s="77"/>
      <c r="G375" s="77"/>
      <c r="H375" s="77"/>
      <c r="I375" s="77"/>
      <c r="J375" s="115">
        <v>3.42</v>
      </c>
      <c r="M375" s="219"/>
      <c r="N375" s="219"/>
      <c r="O375" s="219"/>
      <c r="P375" s="219"/>
      <c r="Q375" s="219"/>
      <c r="R375" s="219"/>
      <c r="S375" s="219"/>
      <c r="T375" s="219"/>
      <c r="U375" s="219"/>
      <c r="V375" s="219"/>
      <c r="W375" s="219"/>
      <c r="X375" s="219"/>
      <c r="Y375" s="219"/>
      <c r="Z375" s="219"/>
      <c r="AA375" s="219"/>
      <c r="AB375" s="219"/>
      <c r="AC375" s="219"/>
      <c r="AD375" s="219"/>
      <c r="AE375" s="219"/>
      <c r="AF375" s="219"/>
      <c r="AG375" s="219"/>
      <c r="AH375" s="219"/>
      <c r="AI375" s="219"/>
      <c r="AJ375" s="219"/>
      <c r="AK375" s="219"/>
      <c r="AL375" s="219"/>
      <c r="AM375" s="399"/>
      <c r="AN375" s="399"/>
      <c r="AO375" s="399"/>
      <c r="AP375" s="399"/>
    </row>
    <row r="376" spans="1:42" x14ac:dyDescent="0.25">
      <c r="A376" s="337"/>
      <c r="B376" s="48" t="s">
        <v>1</v>
      </c>
      <c r="C376" s="96" t="s">
        <v>321</v>
      </c>
      <c r="D376" s="77"/>
      <c r="E376" s="77"/>
      <c r="F376" s="77"/>
      <c r="G376" s="77"/>
      <c r="H376" s="77"/>
      <c r="I376" s="77"/>
      <c r="J376" s="115">
        <v>3.42</v>
      </c>
      <c r="M376" s="219"/>
      <c r="N376" s="219"/>
      <c r="O376" s="219"/>
      <c r="P376" s="219"/>
      <c r="Q376" s="219"/>
      <c r="R376" s="219"/>
      <c r="S376" s="219"/>
      <c r="T376" s="219"/>
      <c r="U376" s="219"/>
      <c r="V376" s="219"/>
      <c r="W376" s="219"/>
      <c r="X376" s="219"/>
      <c r="Y376" s="219"/>
      <c r="Z376" s="219"/>
      <c r="AA376" s="219"/>
      <c r="AB376" s="219"/>
      <c r="AC376" s="219"/>
      <c r="AD376" s="219"/>
      <c r="AE376" s="219"/>
      <c r="AF376" s="219"/>
      <c r="AG376" s="219"/>
      <c r="AH376" s="219"/>
      <c r="AI376" s="219"/>
      <c r="AJ376" s="219"/>
      <c r="AK376" s="219"/>
      <c r="AL376" s="219"/>
      <c r="AM376" s="399"/>
      <c r="AN376" s="399"/>
      <c r="AO376" s="399"/>
      <c r="AP376" s="399"/>
    </row>
    <row r="377" spans="1:42" x14ac:dyDescent="0.25">
      <c r="A377" s="337"/>
      <c r="B377" s="48" t="s">
        <v>1</v>
      </c>
      <c r="C377" s="96" t="s">
        <v>322</v>
      </c>
      <c r="D377" s="77"/>
      <c r="E377" s="77"/>
      <c r="F377" s="77"/>
      <c r="G377" s="77"/>
      <c r="H377" s="77"/>
      <c r="I377" s="77"/>
      <c r="J377" s="115">
        <v>3.42</v>
      </c>
      <c r="M377" s="219"/>
      <c r="N377" s="219"/>
      <c r="O377" s="219"/>
      <c r="P377" s="219"/>
      <c r="Q377" s="219"/>
      <c r="R377" s="219"/>
      <c r="S377" s="219"/>
      <c r="T377" s="219"/>
      <c r="U377" s="219"/>
      <c r="V377" s="219"/>
      <c r="W377" s="219"/>
      <c r="X377" s="219"/>
      <c r="Y377" s="219"/>
      <c r="Z377" s="219"/>
      <c r="AA377" s="219"/>
      <c r="AB377" s="219"/>
      <c r="AC377" s="219"/>
      <c r="AD377" s="219"/>
      <c r="AE377" s="219"/>
      <c r="AF377" s="219"/>
      <c r="AG377" s="219"/>
      <c r="AH377" s="219"/>
      <c r="AI377" s="219"/>
      <c r="AJ377" s="219"/>
      <c r="AK377" s="219"/>
      <c r="AL377" s="219"/>
      <c r="AM377" s="399"/>
      <c r="AN377" s="399"/>
      <c r="AO377" s="399"/>
      <c r="AP377" s="399"/>
    </row>
    <row r="378" spans="1:42" x14ac:dyDescent="0.25">
      <c r="A378" s="337"/>
      <c r="B378" s="48" t="s">
        <v>1</v>
      </c>
      <c r="C378" s="329" t="s">
        <v>960</v>
      </c>
      <c r="D378" s="76"/>
      <c r="E378" s="76"/>
      <c r="F378" s="76"/>
      <c r="G378" s="76"/>
      <c r="H378" s="76"/>
      <c r="I378" s="77"/>
      <c r="J378" s="115" t="s">
        <v>959</v>
      </c>
      <c r="M378" s="219"/>
      <c r="N378" s="219"/>
      <c r="O378" s="219"/>
      <c r="P378" s="219"/>
      <c r="Q378" s="219"/>
      <c r="R378" s="219"/>
      <c r="S378" s="219"/>
      <c r="T378" s="219"/>
      <c r="U378" s="219"/>
      <c r="V378" s="219"/>
      <c r="W378" s="219"/>
      <c r="X378" s="219"/>
      <c r="Y378" s="219"/>
      <c r="Z378" s="219"/>
      <c r="AA378" s="219"/>
      <c r="AB378" s="219"/>
      <c r="AC378" s="219"/>
      <c r="AD378" s="219"/>
      <c r="AE378" s="219"/>
      <c r="AF378" s="219"/>
      <c r="AG378" s="219"/>
      <c r="AH378" s="219"/>
      <c r="AI378" s="219"/>
      <c r="AJ378" s="219"/>
      <c r="AK378" s="219"/>
      <c r="AL378" s="219"/>
      <c r="AM378" s="399"/>
      <c r="AN378" s="399"/>
      <c r="AO378" s="399"/>
      <c r="AP378" s="399"/>
    </row>
    <row r="379" spans="1:42" x14ac:dyDescent="0.25">
      <c r="M379" s="219"/>
      <c r="N379" s="219"/>
      <c r="O379" s="219"/>
      <c r="P379" s="219"/>
      <c r="Q379" s="219"/>
      <c r="R379" s="219"/>
      <c r="S379" s="219"/>
      <c r="T379" s="219"/>
      <c r="U379" s="219"/>
      <c r="V379" s="219"/>
      <c r="W379" s="219"/>
      <c r="X379" s="219"/>
      <c r="Y379" s="219"/>
      <c r="Z379" s="219"/>
      <c r="AA379" s="219"/>
      <c r="AB379" s="219"/>
      <c r="AC379" s="219"/>
      <c r="AD379" s="219"/>
      <c r="AE379" s="219"/>
      <c r="AF379" s="219"/>
      <c r="AG379" s="219"/>
      <c r="AH379" s="219"/>
      <c r="AI379" s="219"/>
      <c r="AJ379" s="219"/>
      <c r="AK379" s="219"/>
      <c r="AL379" s="219"/>
      <c r="AM379" s="399"/>
      <c r="AN379" s="399"/>
      <c r="AO379" s="399"/>
      <c r="AP379" s="399"/>
    </row>
    <row r="380" spans="1:42" ht="28.5" x14ac:dyDescent="0.25">
      <c r="A380" s="67" t="s">
        <v>962</v>
      </c>
      <c r="M380" s="219"/>
      <c r="N380" s="219"/>
      <c r="O380" s="219"/>
      <c r="P380" s="219"/>
      <c r="Q380" s="219"/>
      <c r="R380" s="219"/>
      <c r="S380" s="219"/>
      <c r="T380" s="219"/>
      <c r="U380" s="219"/>
      <c r="V380" s="219"/>
      <c r="W380" s="219"/>
      <c r="X380" s="219"/>
      <c r="Y380" s="219"/>
      <c r="Z380" s="219"/>
      <c r="AA380" s="219"/>
      <c r="AB380" s="219"/>
      <c r="AC380" s="219"/>
      <c r="AD380" s="219"/>
      <c r="AE380" s="219"/>
      <c r="AF380" s="219"/>
      <c r="AG380" s="219"/>
      <c r="AH380" s="219"/>
      <c r="AI380" s="219"/>
      <c r="AJ380" s="219"/>
      <c r="AK380" s="219"/>
      <c r="AL380" s="219"/>
      <c r="AM380" s="399"/>
      <c r="AN380" s="399"/>
      <c r="AO380" s="399"/>
      <c r="AP380" s="399"/>
    </row>
    <row r="381" spans="1:42" x14ac:dyDescent="0.25">
      <c r="A381" s="368" t="s">
        <v>0</v>
      </c>
      <c r="B381" s="369"/>
      <c r="C381" s="368"/>
      <c r="D381" s="71"/>
      <c r="E381" s="71"/>
      <c r="F381" s="342"/>
      <c r="G381" s="343"/>
      <c r="H381" s="342"/>
      <c r="I381" s="342"/>
      <c r="J381" s="206"/>
      <c r="M381" s="219"/>
      <c r="N381" s="219"/>
      <c r="O381" s="219"/>
      <c r="P381" s="219"/>
      <c r="Q381" s="219"/>
      <c r="R381" s="219"/>
      <c r="S381" s="219"/>
      <c r="T381" s="219"/>
      <c r="U381" s="219"/>
      <c r="V381" s="219"/>
      <c r="W381" s="219"/>
      <c r="X381" s="219"/>
      <c r="Y381" s="219"/>
      <c r="Z381" s="219"/>
      <c r="AA381" s="219"/>
      <c r="AB381" s="219"/>
      <c r="AC381" s="219"/>
      <c r="AD381" s="219"/>
      <c r="AE381" s="219"/>
      <c r="AF381" s="219"/>
      <c r="AG381" s="219"/>
      <c r="AH381" s="219"/>
      <c r="AI381" s="219"/>
      <c r="AJ381" s="219"/>
      <c r="AK381" s="219"/>
      <c r="AL381" s="219"/>
      <c r="AM381" s="399"/>
      <c r="AN381" s="399"/>
      <c r="AO381" s="399"/>
      <c r="AP381" s="399"/>
    </row>
    <row r="382" spans="1:42" x14ac:dyDescent="0.25">
      <c r="A382" s="370"/>
      <c r="B382" s="371"/>
      <c r="C382" s="370"/>
      <c r="D382" s="74"/>
      <c r="E382" s="74"/>
      <c r="F382" s="344"/>
      <c r="G382" s="345"/>
      <c r="H382" s="344"/>
      <c r="I382" s="344"/>
      <c r="J382" s="207"/>
      <c r="M382" s="219"/>
      <c r="N382" s="219"/>
      <c r="O382" s="219"/>
      <c r="P382" s="219"/>
      <c r="Q382" s="219"/>
      <c r="R382" s="219"/>
      <c r="S382" s="219"/>
      <c r="T382" s="219"/>
      <c r="U382" s="219"/>
      <c r="V382" s="219"/>
      <c r="W382" s="219"/>
      <c r="X382" s="219"/>
      <c r="Y382" s="219"/>
      <c r="Z382" s="219"/>
      <c r="AA382" s="219"/>
      <c r="AB382" s="219"/>
      <c r="AC382" s="219"/>
      <c r="AD382" s="219"/>
      <c r="AE382" s="219"/>
      <c r="AF382" s="219"/>
      <c r="AG382" s="219"/>
      <c r="AH382" s="219"/>
      <c r="AI382" s="219"/>
      <c r="AJ382" s="219"/>
      <c r="AK382" s="219"/>
      <c r="AL382" s="219"/>
      <c r="AM382" s="399"/>
      <c r="AN382" s="399"/>
      <c r="AO382" s="399"/>
      <c r="AP382" s="399"/>
    </row>
    <row r="383" spans="1:42" x14ac:dyDescent="0.25">
      <c r="A383" s="337"/>
      <c r="B383" s="48" t="s">
        <v>1</v>
      </c>
      <c r="C383" s="53" t="s">
        <v>967</v>
      </c>
      <c r="D383" s="77"/>
      <c r="E383" s="77"/>
      <c r="F383" s="77"/>
      <c r="G383" s="77"/>
      <c r="H383" s="77"/>
      <c r="I383" s="77"/>
      <c r="J383" s="341"/>
      <c r="M383" s="219"/>
      <c r="N383" s="219"/>
      <c r="O383" s="219"/>
      <c r="P383" s="219"/>
      <c r="Q383" s="219"/>
      <c r="R383" s="219"/>
      <c r="S383" s="219"/>
      <c r="T383" s="219"/>
      <c r="U383" s="219"/>
      <c r="V383" s="219"/>
      <c r="W383" s="219"/>
      <c r="X383" s="219"/>
      <c r="Y383" s="219"/>
      <c r="Z383" s="219"/>
      <c r="AA383" s="219"/>
      <c r="AB383" s="219"/>
      <c r="AC383" s="219"/>
      <c r="AD383" s="219"/>
      <c r="AE383" s="219"/>
      <c r="AF383" s="219"/>
      <c r="AG383" s="219"/>
      <c r="AH383" s="219"/>
      <c r="AI383" s="219"/>
      <c r="AJ383" s="219"/>
      <c r="AK383" s="219"/>
      <c r="AL383" s="219"/>
      <c r="AM383" s="399"/>
      <c r="AN383" s="399"/>
      <c r="AO383" s="399"/>
      <c r="AP383" s="399"/>
    </row>
    <row r="384" spans="1:42" x14ac:dyDescent="0.25">
      <c r="A384" s="337"/>
      <c r="B384" s="48" t="s">
        <v>1</v>
      </c>
      <c r="C384" s="53" t="s">
        <v>964</v>
      </c>
      <c r="D384" s="77"/>
      <c r="E384" s="77"/>
      <c r="F384" s="77"/>
      <c r="G384" s="77"/>
      <c r="H384" s="77"/>
      <c r="I384" s="77"/>
      <c r="J384" s="341"/>
      <c r="M384" s="219"/>
      <c r="N384" s="219"/>
      <c r="O384" s="219"/>
      <c r="P384" s="219"/>
      <c r="Q384" s="219"/>
      <c r="R384" s="219"/>
      <c r="S384" s="219"/>
      <c r="T384" s="219"/>
      <c r="U384" s="219"/>
      <c r="V384" s="219"/>
      <c r="W384" s="219"/>
      <c r="X384" s="219"/>
      <c r="Y384" s="219"/>
      <c r="Z384" s="219"/>
      <c r="AA384" s="219"/>
      <c r="AB384" s="219"/>
      <c r="AC384" s="219"/>
      <c r="AD384" s="219"/>
      <c r="AE384" s="219"/>
      <c r="AF384" s="219"/>
      <c r="AG384" s="219"/>
      <c r="AH384" s="219"/>
      <c r="AI384" s="219"/>
      <c r="AJ384" s="219"/>
      <c r="AK384" s="219"/>
      <c r="AL384" s="219"/>
      <c r="AM384" s="399"/>
      <c r="AN384" s="399"/>
      <c r="AO384" s="399"/>
      <c r="AP384" s="399"/>
    </row>
    <row r="385" spans="1:42" x14ac:dyDescent="0.25">
      <c r="A385" s="337"/>
      <c r="B385" s="48" t="s">
        <v>1</v>
      </c>
      <c r="C385" s="351" t="s">
        <v>965</v>
      </c>
      <c r="D385" s="77"/>
      <c r="E385" s="77"/>
      <c r="F385" s="77"/>
      <c r="G385" s="77"/>
      <c r="H385" s="77"/>
      <c r="I385" s="77"/>
      <c r="J385" s="341"/>
      <c r="M385" s="399"/>
      <c r="N385" s="399"/>
      <c r="O385" s="399"/>
      <c r="P385" s="399"/>
      <c r="Q385" s="399"/>
      <c r="R385" s="399"/>
      <c r="S385" s="399"/>
      <c r="T385" s="399"/>
      <c r="U385" s="399"/>
      <c r="V385" s="399"/>
      <c r="W385" s="399"/>
      <c r="X385" s="399"/>
      <c r="Y385" s="399"/>
      <c r="Z385" s="399"/>
      <c r="AA385" s="399"/>
      <c r="AB385" s="399"/>
      <c r="AC385" s="399"/>
      <c r="AD385" s="399"/>
      <c r="AE385" s="399"/>
      <c r="AF385" s="399"/>
      <c r="AG385" s="399"/>
      <c r="AH385" s="399"/>
      <c r="AI385" s="399"/>
      <c r="AJ385" s="399"/>
      <c r="AK385" s="399"/>
      <c r="AL385" s="399"/>
      <c r="AM385" s="399"/>
      <c r="AN385" s="399"/>
      <c r="AO385" s="399"/>
      <c r="AP385" s="399"/>
    </row>
    <row r="386" spans="1:42" x14ac:dyDescent="0.25">
      <c r="A386" s="337"/>
      <c r="B386" s="48" t="s">
        <v>1</v>
      </c>
      <c r="C386" s="351" t="s">
        <v>966</v>
      </c>
      <c r="D386" s="77"/>
      <c r="E386" s="77"/>
      <c r="F386" s="77"/>
      <c r="G386" s="77"/>
      <c r="H386" s="77"/>
      <c r="I386" s="77"/>
      <c r="J386" s="341"/>
      <c r="M386" s="399"/>
      <c r="N386" s="399"/>
      <c r="O386" s="399"/>
      <c r="P386" s="399"/>
      <c r="Q386" s="399"/>
      <c r="R386" s="399"/>
      <c r="S386" s="399"/>
      <c r="T386" s="399"/>
      <c r="U386" s="399"/>
      <c r="V386" s="399"/>
      <c r="W386" s="399"/>
      <c r="X386" s="399"/>
      <c r="Y386" s="399"/>
      <c r="Z386" s="399"/>
      <c r="AA386" s="399"/>
      <c r="AB386" s="399"/>
      <c r="AC386" s="399"/>
      <c r="AD386" s="399"/>
      <c r="AE386" s="399"/>
      <c r="AF386" s="399"/>
      <c r="AG386" s="399"/>
      <c r="AH386" s="399"/>
      <c r="AI386" s="399"/>
      <c r="AJ386" s="399"/>
      <c r="AK386" s="399"/>
      <c r="AL386" s="399"/>
      <c r="AM386" s="399"/>
      <c r="AN386" s="399"/>
      <c r="AO386" s="399"/>
      <c r="AP386" s="399"/>
    </row>
    <row r="387" spans="1:42" x14ac:dyDescent="0.25">
      <c r="M387" s="218"/>
      <c r="N387" s="218"/>
      <c r="O387" s="218"/>
      <c r="P387" s="218"/>
      <c r="Q387" s="218"/>
      <c r="R387" s="218"/>
      <c r="S387" s="218"/>
      <c r="T387" s="218"/>
      <c r="U387" s="218"/>
      <c r="V387" s="218"/>
      <c r="W387" s="218"/>
      <c r="X387" s="218"/>
      <c r="Y387" s="218"/>
      <c r="Z387" s="218"/>
      <c r="AA387" s="218"/>
      <c r="AB387" s="218"/>
      <c r="AC387" s="218"/>
      <c r="AD387" s="218"/>
      <c r="AE387" s="218"/>
      <c r="AF387" s="218"/>
      <c r="AG387" s="218"/>
      <c r="AH387" s="218"/>
      <c r="AI387" s="218"/>
      <c r="AJ387" s="218"/>
      <c r="AK387" s="218"/>
      <c r="AL387" s="218"/>
      <c r="AM387" s="218"/>
      <c r="AN387" s="218"/>
    </row>
    <row r="388" spans="1:42" x14ac:dyDescent="0.25">
      <c r="M388" s="218"/>
      <c r="N388" s="218"/>
      <c r="O388" s="218"/>
      <c r="P388" s="218"/>
      <c r="Q388" s="218"/>
      <c r="R388" s="218"/>
      <c r="S388" s="218"/>
      <c r="T388" s="218"/>
      <c r="U388" s="218"/>
      <c r="V388" s="218"/>
      <c r="W388" s="218"/>
      <c r="X388" s="218"/>
      <c r="Y388" s="218"/>
      <c r="Z388" s="218"/>
      <c r="AA388" s="218"/>
      <c r="AB388" s="218"/>
      <c r="AC388" s="218"/>
      <c r="AD388" s="218"/>
      <c r="AE388" s="218"/>
      <c r="AF388" s="218"/>
      <c r="AG388" s="218"/>
      <c r="AH388" s="218"/>
      <c r="AI388" s="218"/>
      <c r="AJ388" s="218"/>
      <c r="AK388" s="218"/>
      <c r="AL388" s="218"/>
      <c r="AM388" s="218"/>
      <c r="AN388" s="218"/>
    </row>
    <row r="389" spans="1:42" x14ac:dyDescent="0.25">
      <c r="M389" s="218"/>
      <c r="N389" s="218"/>
      <c r="O389" s="218"/>
      <c r="P389" s="218"/>
      <c r="Q389" s="218"/>
      <c r="R389" s="218"/>
      <c r="S389" s="218"/>
      <c r="T389" s="218"/>
      <c r="U389" s="218"/>
      <c r="V389" s="218"/>
      <c r="W389" s="218"/>
      <c r="X389" s="218"/>
      <c r="Y389" s="218"/>
      <c r="Z389" s="218"/>
      <c r="AA389" s="218"/>
      <c r="AB389" s="218"/>
      <c r="AC389" s="218"/>
      <c r="AD389" s="218"/>
      <c r="AE389" s="218"/>
      <c r="AF389" s="218"/>
      <c r="AG389" s="218"/>
      <c r="AH389" s="218"/>
      <c r="AI389" s="218"/>
      <c r="AJ389" s="218"/>
      <c r="AK389" s="218"/>
      <c r="AL389" s="218"/>
      <c r="AM389" s="218"/>
      <c r="AN389" s="218"/>
    </row>
    <row r="390" spans="1:42" x14ac:dyDescent="0.25">
      <c r="M390" s="218"/>
      <c r="N390" s="218"/>
      <c r="O390" s="218"/>
      <c r="P390" s="218"/>
      <c r="Q390" s="218"/>
      <c r="R390" s="218"/>
      <c r="S390" s="218"/>
      <c r="T390" s="218"/>
      <c r="U390" s="218"/>
      <c r="V390" s="218"/>
      <c r="W390" s="218"/>
      <c r="X390" s="218"/>
      <c r="Y390" s="218"/>
      <c r="Z390" s="218"/>
      <c r="AA390" s="218"/>
      <c r="AB390" s="218"/>
      <c r="AC390" s="218"/>
      <c r="AD390" s="218"/>
      <c r="AE390" s="218"/>
      <c r="AF390" s="218"/>
      <c r="AG390" s="218"/>
      <c r="AH390" s="218"/>
      <c r="AI390" s="218"/>
      <c r="AJ390" s="218"/>
      <c r="AK390" s="218"/>
      <c r="AL390" s="218"/>
      <c r="AM390" s="218"/>
      <c r="AN390" s="218"/>
    </row>
  </sheetData>
  <sortState xmlns:xlrd2="http://schemas.microsoft.com/office/spreadsheetml/2017/richdata2" ref="C314:L321">
    <sortCondition ref="C314:C321"/>
  </sortState>
  <mergeCells count="109">
    <mergeCell ref="A17:I18"/>
    <mergeCell ref="A354:B355"/>
    <mergeCell ref="C354:C355"/>
    <mergeCell ref="A360:B361"/>
    <mergeCell ref="C360:C361"/>
    <mergeCell ref="A372:B373"/>
    <mergeCell ref="C372:C373"/>
    <mergeCell ref="A331:B332"/>
    <mergeCell ref="C331:C332"/>
    <mergeCell ref="G331:G332"/>
    <mergeCell ref="A338:B339"/>
    <mergeCell ref="C338:C339"/>
    <mergeCell ref="A325:B326"/>
    <mergeCell ref="C325:C326"/>
    <mergeCell ref="G325:G326"/>
    <mergeCell ref="A294:B295"/>
    <mergeCell ref="C294:C295"/>
    <mergeCell ref="G294:G295"/>
    <mergeCell ref="A305:B306"/>
    <mergeCell ref="C305:C306"/>
    <mergeCell ref="G305:G306"/>
    <mergeCell ref="A251:B252"/>
    <mergeCell ref="C251:C252"/>
    <mergeCell ref="G251:G252"/>
    <mergeCell ref="A260:B261"/>
    <mergeCell ref="C260:C261"/>
    <mergeCell ref="G260:G261"/>
    <mergeCell ref="A312:B313"/>
    <mergeCell ref="C312:C313"/>
    <mergeCell ref="G312:G313"/>
    <mergeCell ref="Z116:AB116"/>
    <mergeCell ref="M1:V1"/>
    <mergeCell ref="AA1:AJ1"/>
    <mergeCell ref="J294:J295"/>
    <mergeCell ref="J282:J283"/>
    <mergeCell ref="J271:J272"/>
    <mergeCell ref="J260:J261"/>
    <mergeCell ref="J251:J252"/>
    <mergeCell ref="L116:L117"/>
    <mergeCell ref="J198:J199"/>
    <mergeCell ref="J22:J23"/>
    <mergeCell ref="Z22:AB22"/>
    <mergeCell ref="K22:K23"/>
    <mergeCell ref="L22:L23"/>
    <mergeCell ref="A198:B199"/>
    <mergeCell ref="C198:C199"/>
    <mergeCell ref="G198:G199"/>
    <mergeCell ref="A116:B117"/>
    <mergeCell ref="K213:K214"/>
    <mergeCell ref="L213:L214"/>
    <mergeCell ref="K232:K233"/>
    <mergeCell ref="L232:L233"/>
    <mergeCell ref="K251:K252"/>
    <mergeCell ref="K204:K205"/>
    <mergeCell ref="L204:L205"/>
    <mergeCell ref="J232:J233"/>
    <mergeCell ref="J213:J214"/>
    <mergeCell ref="J204:J205"/>
    <mergeCell ref="J331:J332"/>
    <mergeCell ref="J312:J313"/>
    <mergeCell ref="J305:J306"/>
    <mergeCell ref="K260:K261"/>
    <mergeCell ref="K282:K283"/>
    <mergeCell ref="K305:K306"/>
    <mergeCell ref="K312:K313"/>
    <mergeCell ref="L305:L306"/>
    <mergeCell ref="L312:L313"/>
    <mergeCell ref="K325:K326"/>
    <mergeCell ref="J325:J326"/>
    <mergeCell ref="C116:C117"/>
    <mergeCell ref="G116:G117"/>
    <mergeCell ref="J116:J117"/>
    <mergeCell ref="K116:K117"/>
    <mergeCell ref="L80:L81"/>
    <mergeCell ref="A106:B107"/>
    <mergeCell ref="C106:C107"/>
    <mergeCell ref="G106:G107"/>
    <mergeCell ref="J106:J107"/>
    <mergeCell ref="K106:K107"/>
    <mergeCell ref="L106:L107"/>
    <mergeCell ref="A80:B81"/>
    <mergeCell ref="C80:C81"/>
    <mergeCell ref="G80:G81"/>
    <mergeCell ref="J80:J81"/>
    <mergeCell ref="K80:K81"/>
    <mergeCell ref="A381:B382"/>
    <mergeCell ref="C381:C382"/>
    <mergeCell ref="D1:E2"/>
    <mergeCell ref="D3:E4"/>
    <mergeCell ref="D5:E6"/>
    <mergeCell ref="D7:E8"/>
    <mergeCell ref="A22:B23"/>
    <mergeCell ref="C22:E23"/>
    <mergeCell ref="G22:G23"/>
    <mergeCell ref="A213:B214"/>
    <mergeCell ref="C213:C214"/>
    <mergeCell ref="G213:G214"/>
    <mergeCell ref="A232:B233"/>
    <mergeCell ref="C232:C233"/>
    <mergeCell ref="G232:G233"/>
    <mergeCell ref="A204:B205"/>
    <mergeCell ref="C204:C205"/>
    <mergeCell ref="G204:G205"/>
    <mergeCell ref="A271:B272"/>
    <mergeCell ref="C271:C272"/>
    <mergeCell ref="G271:G272"/>
    <mergeCell ref="A282:B283"/>
    <mergeCell ref="C282:C283"/>
    <mergeCell ref="G282:G283"/>
  </mergeCells>
  <phoneticPr fontId="15" type="noConversion"/>
  <conditionalFormatting sqref="K211">
    <cfRule type="cellIs" dxfId="33" priority="46" stopIfTrue="1" operator="equal">
      <formula>0</formula>
    </cfRule>
  </conditionalFormatting>
  <conditionalFormatting sqref="K322:K324 K328:K330 K336:K337">
    <cfRule type="cellIs" dxfId="32" priority="45" stopIfTrue="1" operator="equal">
      <formula>0</formula>
    </cfRule>
  </conditionalFormatting>
  <conditionalFormatting sqref="M2:M19">
    <cfRule type="expression" dxfId="31" priority="24">
      <formula>$Y2&gt;0.05</formula>
    </cfRule>
  </conditionalFormatting>
  <conditionalFormatting sqref="M2:V19">
    <cfRule type="expression" dxfId="30" priority="25">
      <formula>$X2=1</formula>
    </cfRule>
  </conditionalFormatting>
  <conditionalFormatting sqref="N2:N19">
    <cfRule type="expression" dxfId="29" priority="23">
      <formula>$Y2&gt;0.15</formula>
    </cfRule>
  </conditionalFormatting>
  <conditionalFormatting sqref="O2:O19">
    <cfRule type="expression" dxfId="28" priority="22">
      <formula>$Y2&gt;0.25</formula>
    </cfRule>
  </conditionalFormatting>
  <conditionalFormatting sqref="P2:P19">
    <cfRule type="expression" dxfId="27" priority="21">
      <formula>$Y2&gt;0.35</formula>
    </cfRule>
  </conditionalFormatting>
  <conditionalFormatting sqref="Q2:Q19">
    <cfRule type="expression" dxfId="26" priority="19">
      <formula>$Y2&gt;0.45</formula>
    </cfRule>
  </conditionalFormatting>
  <conditionalFormatting sqref="R2:R19">
    <cfRule type="expression" dxfId="25" priority="20">
      <formula>$Y2&gt;0.55</formula>
    </cfRule>
  </conditionalFormatting>
  <conditionalFormatting sqref="S2:S19">
    <cfRule type="expression" dxfId="24" priority="12">
      <formula>$Y2&gt;0.65</formula>
    </cfRule>
  </conditionalFormatting>
  <conditionalFormatting sqref="T2:T19">
    <cfRule type="expression" dxfId="23" priority="17">
      <formula>$Y2&gt;0.75</formula>
    </cfRule>
  </conditionalFormatting>
  <conditionalFormatting sqref="U2:U19">
    <cfRule type="expression" dxfId="22" priority="16">
      <formula>$Y2&gt;0.85</formula>
    </cfRule>
  </conditionalFormatting>
  <conditionalFormatting sqref="V2:V19">
    <cfRule type="expression" dxfId="21" priority="15">
      <formula>$Y2&gt;0.95</formula>
    </cfRule>
  </conditionalFormatting>
  <conditionalFormatting sqref="AA2:AA19">
    <cfRule type="expression" dxfId="20" priority="10">
      <formula>$AM2&gt;0.05</formula>
    </cfRule>
  </conditionalFormatting>
  <conditionalFormatting sqref="AA2:AJ19">
    <cfRule type="expression" dxfId="19" priority="11">
      <formula>$AL2=1</formula>
    </cfRule>
  </conditionalFormatting>
  <conditionalFormatting sqref="AB2:AB19">
    <cfRule type="expression" dxfId="18" priority="9">
      <formula>$AM2&gt;0.15</formula>
    </cfRule>
  </conditionalFormatting>
  <conditionalFormatting sqref="AC2:AC19">
    <cfRule type="expression" dxfId="17" priority="8">
      <formula>$AM2&gt;0.25</formula>
    </cfRule>
  </conditionalFormatting>
  <conditionalFormatting sqref="AD2:AD19">
    <cfRule type="expression" dxfId="16" priority="7">
      <formula>$AM2&gt;0.35</formula>
    </cfRule>
  </conditionalFormatting>
  <conditionalFormatting sqref="AE2:AE19">
    <cfRule type="expression" dxfId="15" priority="5">
      <formula>$AM2&gt;0.45</formula>
    </cfRule>
  </conditionalFormatting>
  <conditionalFormatting sqref="AF2:AF19">
    <cfRule type="expression" dxfId="14" priority="6">
      <formula>$AM2&gt;0.55</formula>
    </cfRule>
  </conditionalFormatting>
  <conditionalFormatting sqref="AG2:AG19">
    <cfRule type="expression" dxfId="13" priority="1">
      <formula>$AM2&gt;0.65</formula>
    </cfRule>
  </conditionalFormatting>
  <conditionalFormatting sqref="AH2:AH19">
    <cfRule type="expression" dxfId="12" priority="4">
      <formula>$AM2&gt;0.75</formula>
    </cfRule>
  </conditionalFormatting>
  <conditionalFormatting sqref="AI2:AI19">
    <cfRule type="expression" dxfId="11" priority="3">
      <formula>$AM2&gt;0.85</formula>
    </cfRule>
  </conditionalFormatting>
  <conditionalFormatting sqref="AJ2:AJ19">
    <cfRule type="expression" dxfId="10" priority="2">
      <formula>$AM2&gt;0.95</formula>
    </cfRule>
  </conditionalFormatting>
  <pageMargins left="0.23622047244094491" right="0.23622047244094491" top="0.74803149606299213" bottom="0.74803149606299213" header="0.31496062992125984" footer="0.31496062992125984"/>
  <pageSetup paperSize="9" fitToHeight="0" orientation="portrait" r:id="rId1"/>
  <headerFooter>
    <oddHeader>&amp;LBeaver Plants&amp;CAvailability List&amp;RPage &amp;P of &amp;N                                .</oddHeader>
  </headerFooter>
  <drawing r:id="rId2"/>
  <extLst>
    <ext xmlns:x14="http://schemas.microsoft.com/office/spreadsheetml/2009/9/main" uri="{78C0D931-6437-407d-A8EE-F0AAD7539E65}">
      <x14:conditionalFormattings>
        <x14:conditionalFormatting xmlns:xm="http://schemas.microsoft.com/office/excel/2006/main">
          <x14:cfRule type="iconSet" priority="98" id="{DC1E4055-A8FA-4720-98AC-C0CCEF3F5C52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tars" iconId="2"/>
            </x14:iconSet>
          </x14:cfRule>
          <xm:sqref>L314 L308:L311</xm:sqref>
        </x14:conditionalFormatting>
        <x14:conditionalFormatting xmlns:xm="http://schemas.microsoft.com/office/excel/2006/main">
          <x14:cfRule type="iconSet" priority="43" id="{090F6FF0-C014-440D-A439-97A774FCCB82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tars" iconId="2"/>
            </x14:iconSet>
          </x14:cfRule>
          <xm:sqref>L315</xm:sqref>
        </x14:conditionalFormatting>
        <x14:conditionalFormatting xmlns:xm="http://schemas.microsoft.com/office/excel/2006/main">
          <x14:cfRule type="iconSet" priority="42" id="{46EE7195-0EEA-4319-B5C2-0BE435AB977A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tars" iconId="2"/>
            </x14:iconSet>
          </x14:cfRule>
          <xm:sqref>L316</xm:sqref>
        </x14:conditionalFormatting>
        <x14:conditionalFormatting xmlns:xm="http://schemas.microsoft.com/office/excel/2006/main">
          <x14:cfRule type="iconSet" priority="97" id="{19D476AB-5C2F-4814-A210-DD845CE07226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tars" iconId="2"/>
            </x14:iconSet>
          </x14:cfRule>
          <xm:sqref>L317:L318</xm:sqref>
        </x14:conditionalFormatting>
        <x14:conditionalFormatting xmlns:xm="http://schemas.microsoft.com/office/excel/2006/main">
          <x14:cfRule type="iconSet" priority="40" id="{99038A6F-5FCD-4739-8908-AB709A95A6F4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tars" iconId="2"/>
            </x14:iconSet>
          </x14:cfRule>
          <xm:sqref>L319</xm:sqref>
        </x14:conditionalFormatting>
        <x14:conditionalFormatting xmlns:xm="http://schemas.microsoft.com/office/excel/2006/main">
          <x14:cfRule type="iconSet" priority="39" id="{2D430C7E-94B4-4FFE-8BB6-7193ADAE516E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tars" iconId="2"/>
            </x14:iconSet>
          </x14:cfRule>
          <xm:sqref>L320:L321</xm:sqref>
        </x14:conditionalFormatting>
        <x14:conditionalFormatting xmlns:xm="http://schemas.microsoft.com/office/excel/2006/main">
          <x14:cfRule type="iconSet" priority="99" id="{B619A12D-347B-41F2-9AEF-F27A76FD9E76}">
            <x14:iconSet iconSet="3Stars" custom="1">
              <x14:cfvo type="percent">
                <xm:f>0</xm:f>
              </x14:cfvo>
              <x14:cfvo type="num">
                <xm:f>0</xm:f>
              </x14:cfvo>
              <x14:cfvo type="num">
                <xm:f>1</xm:f>
              </x14:cfvo>
              <x14:cfIcon iconSet="NoIcons" iconId="0"/>
              <x14:cfIcon iconSet="NoIcons" iconId="0"/>
              <x14:cfIcon iconSet="3Stars" iconId="2"/>
            </x14:iconSet>
          </x14:cfRule>
          <xm:sqref>L329:L330 L322:L324 L307 L201:L203</xm:sqref>
        </x14:conditionalFormatting>
      </x14:conditionalFormatting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FFE0FC-551D-4F67-94A5-D94294364303}">
  <dimension ref="A1:AF168"/>
  <sheetViews>
    <sheetView workbookViewId="0">
      <selection activeCell="D1" sqref="D1:E1"/>
    </sheetView>
  </sheetViews>
  <sheetFormatPr defaultColWidth="8.85546875" defaultRowHeight="13.5" x14ac:dyDescent="0.15"/>
  <cols>
    <col min="1" max="1" width="23.28515625" style="231" customWidth="1"/>
    <col min="2" max="2" width="42.42578125" style="231" customWidth="1"/>
    <col min="3" max="3" width="6.85546875" style="255" bestFit="1" customWidth="1"/>
    <col min="4" max="4" width="5.85546875" style="231" customWidth="1"/>
    <col min="5" max="5" width="5.5703125" style="231" customWidth="1"/>
    <col min="6" max="7" width="3.7109375" style="230" customWidth="1"/>
    <col min="8" max="8" width="3.42578125" style="230" customWidth="1"/>
    <col min="9" max="9" width="4.42578125" style="230" bestFit="1" customWidth="1"/>
    <col min="10" max="10" width="25" style="230" bestFit="1" customWidth="1"/>
    <col min="11" max="11" width="8.85546875" style="230"/>
    <col min="12" max="12" width="29.42578125" style="230" customWidth="1"/>
    <col min="13" max="13" width="12.28515625" style="230" customWidth="1"/>
    <col min="14" max="14" width="8.85546875" style="230"/>
    <col min="15" max="15" width="3.28515625" style="230" bestFit="1" customWidth="1"/>
    <col min="16" max="26" width="8.85546875" style="230"/>
    <col min="27" max="16384" width="8.85546875" style="231"/>
  </cols>
  <sheetData>
    <row r="1" spans="1:32" ht="15" customHeight="1" x14ac:dyDescent="0.15">
      <c r="A1" s="228" t="s">
        <v>566</v>
      </c>
      <c r="B1" s="229">
        <f>'Order Page'!D1</f>
        <v>0</v>
      </c>
      <c r="C1" s="229"/>
      <c r="D1" s="389" t="s">
        <v>689</v>
      </c>
      <c r="E1" s="38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</row>
    <row r="2" spans="1:32" x14ac:dyDescent="0.15">
      <c r="A2" s="232"/>
      <c r="B2" s="233"/>
      <c r="C2" s="233"/>
      <c r="D2" s="234"/>
      <c r="E2" s="235"/>
      <c r="F2" s="250"/>
      <c r="G2" s="249"/>
      <c r="H2" s="249"/>
      <c r="I2" s="249"/>
      <c r="J2" s="249"/>
      <c r="K2" s="249"/>
      <c r="L2" s="249"/>
      <c r="M2" s="249"/>
      <c r="N2" s="249"/>
      <c r="O2" s="249"/>
      <c r="P2" s="249"/>
      <c r="Q2" s="249"/>
    </row>
    <row r="3" spans="1:32" ht="14.25" x14ac:dyDescent="0.15">
      <c r="A3" s="228"/>
      <c r="B3" s="229"/>
      <c r="C3" s="229"/>
      <c r="D3" s="236"/>
      <c r="E3" s="236"/>
      <c r="F3" s="249"/>
      <c r="G3" s="249"/>
      <c r="H3" s="249"/>
      <c r="I3" s="249"/>
      <c r="J3" s="249"/>
      <c r="K3" s="249"/>
      <c r="L3" s="249"/>
      <c r="M3" s="249"/>
      <c r="N3" s="249"/>
      <c r="O3" s="249"/>
      <c r="P3" s="249"/>
      <c r="Q3" s="249"/>
    </row>
    <row r="4" spans="1:32" x14ac:dyDescent="0.15">
      <c r="A4" s="237" t="s">
        <v>560</v>
      </c>
      <c r="B4" s="237" t="s">
        <v>280</v>
      </c>
      <c r="C4" s="238" t="s">
        <v>415</v>
      </c>
      <c r="D4" s="390" t="s">
        <v>567</v>
      </c>
      <c r="E4" s="390"/>
      <c r="F4" s="249"/>
      <c r="G4" s="249"/>
      <c r="H4" s="249"/>
      <c r="I4" s="249"/>
      <c r="J4" s="249"/>
      <c r="K4" s="249"/>
      <c r="L4" s="249"/>
      <c r="M4" s="249"/>
      <c r="N4" s="249"/>
      <c r="O4" s="249"/>
      <c r="P4" s="249"/>
      <c r="Q4" s="249"/>
      <c r="T4" s="239"/>
      <c r="U4" s="239"/>
      <c r="V4" s="239"/>
      <c r="W4" s="239"/>
      <c r="X4" s="239"/>
      <c r="Y4" s="239"/>
      <c r="Z4" s="239"/>
      <c r="AA4" s="240"/>
      <c r="AB4" s="240"/>
      <c r="AC4" s="240"/>
      <c r="AD4" s="240"/>
      <c r="AE4" s="240"/>
      <c r="AF4" s="240"/>
    </row>
    <row r="5" spans="1:32" x14ac:dyDescent="0.15">
      <c r="A5" s="241" t="str">
        <f>L5</f>
        <v/>
      </c>
      <c r="B5" s="242" t="str">
        <f>J5</f>
        <v/>
      </c>
      <c r="C5" s="252" t="str">
        <f>IF(N5=0,"",N5)</f>
        <v/>
      </c>
      <c r="D5" s="243" t="str">
        <f>K5</f>
        <v/>
      </c>
      <c r="E5" s="244" t="str">
        <f>M5</f>
        <v/>
      </c>
      <c r="F5" s="249"/>
      <c r="G5" s="249"/>
      <c r="H5" s="249"/>
      <c r="I5" s="230">
        <v>1</v>
      </c>
      <c r="J5" s="230" t="str">
        <f>_xlfn.XLOOKUP(I5,'Order Page'!W$24:W$393,'Order Page'!C$24:C$393,"")</f>
        <v/>
      </c>
      <c r="K5" s="230" t="str">
        <f>_xlfn.XLOOKUP(I5,'Order Page'!W$24:W$393,'Order Page'!U$24:U$393,"")</f>
        <v/>
      </c>
      <c r="L5" s="230" t="str">
        <f>_xlfn.XLOOKUP(I5,'Order Page'!W$24:W$393,'Order Page'!S$24:S$393,"")</f>
        <v/>
      </c>
      <c r="M5" s="230" t="str">
        <f>_xlfn.XLOOKUP(I5,'Order Page'!W$24:W$393,'Order Page'!B$24:B$393,"")</f>
        <v/>
      </c>
      <c r="N5" s="230" t="str">
        <f>_xlfn.XLOOKUP(I5,'Order Page'!W$24:W$393,'Order Page'!F$24:F$393,"")</f>
        <v/>
      </c>
      <c r="O5" s="249"/>
      <c r="P5" s="249"/>
      <c r="Q5" s="251"/>
      <c r="R5" s="245"/>
    </row>
    <row r="6" spans="1:32" x14ac:dyDescent="0.15">
      <c r="A6" s="241" t="str">
        <f>IF(L6=0,"",IF(L6=L5,"",L6))</f>
        <v/>
      </c>
      <c r="B6" s="246" t="str">
        <f>IF(K6=J5,"",J6)</f>
        <v/>
      </c>
      <c r="C6" s="252" t="str">
        <f t="shared" ref="C6:C69" si="0">IF(N6=0,"",N6)</f>
        <v/>
      </c>
      <c r="D6" s="243" t="str">
        <f>K6</f>
        <v/>
      </c>
      <c r="E6" s="244" t="str">
        <f>IF(J6=J5,"",M6)</f>
        <v/>
      </c>
      <c r="F6" s="249"/>
      <c r="G6" s="249"/>
      <c r="H6" s="249"/>
      <c r="I6" s="230">
        <v>2</v>
      </c>
      <c r="J6" s="230" t="str">
        <f>_xlfn.XLOOKUP(I6,'Order Page'!W$24:W$393,'Order Page'!C$24:C$393,"")</f>
        <v/>
      </c>
      <c r="K6" s="230" t="str">
        <f>_xlfn.XLOOKUP(I6,'Order Page'!W$24:W$393,'Order Page'!U$24:U$393,"")</f>
        <v/>
      </c>
      <c r="L6" s="230" t="str">
        <f>_xlfn.XLOOKUP(I6,'Order Page'!W$24:W$393,'Order Page'!S$24:S$393,"")</f>
        <v/>
      </c>
      <c r="M6" s="230" t="str">
        <f>_xlfn.XLOOKUP(I6,'Order Page'!W$24:W$393,'Order Page'!B$24:B$393,"")</f>
        <v/>
      </c>
      <c r="N6" s="230" t="str">
        <f>_xlfn.XLOOKUP(I6,'Order Page'!W$24:W$393,'Order Page'!F$24:F$393,"")</f>
        <v/>
      </c>
      <c r="O6" s="249"/>
      <c r="P6" s="249"/>
      <c r="Q6" s="251"/>
      <c r="R6" s="245"/>
    </row>
    <row r="7" spans="1:32" x14ac:dyDescent="0.15">
      <c r="A7" s="241" t="str">
        <f>IF(L7=0,"",IF(L7=L6,"",L7))</f>
        <v/>
      </c>
      <c r="B7" s="246" t="str">
        <f>IF(J7=J6,"",J7)</f>
        <v/>
      </c>
      <c r="C7" s="252" t="str">
        <f t="shared" si="0"/>
        <v/>
      </c>
      <c r="D7" s="243" t="str">
        <f>IF(J7=J6,"",K7)</f>
        <v/>
      </c>
      <c r="E7" s="244" t="str">
        <f>IF(J7=J6,"",M7)</f>
        <v/>
      </c>
      <c r="F7" s="249"/>
      <c r="G7" s="249"/>
      <c r="H7" s="249"/>
      <c r="I7" s="230">
        <v>3</v>
      </c>
      <c r="J7" s="230" t="str">
        <f>_xlfn.XLOOKUP(I7,'Order Page'!W$24:W$393,'Order Page'!C$24:C$393,"")</f>
        <v/>
      </c>
      <c r="K7" s="230" t="str">
        <f>_xlfn.XLOOKUP(I7,'Order Page'!W$24:W$393,'Order Page'!U$24:U$393,"")</f>
        <v/>
      </c>
      <c r="L7" s="230" t="str">
        <f>_xlfn.XLOOKUP(I7,'Order Page'!W$24:W$393,'Order Page'!S$24:S$393,"")</f>
        <v/>
      </c>
      <c r="M7" s="230" t="str">
        <f>_xlfn.XLOOKUP(I7,'Order Page'!W$24:W$393,'Order Page'!B$24:B$393,"")</f>
        <v/>
      </c>
      <c r="N7" s="230" t="str">
        <f>_xlfn.XLOOKUP(I7,'Order Page'!W$24:W$393,'Order Page'!F$24:F$393,"")</f>
        <v/>
      </c>
      <c r="O7" s="249"/>
      <c r="P7" s="249"/>
      <c r="Q7" s="251"/>
      <c r="R7" s="245"/>
    </row>
    <row r="8" spans="1:32" x14ac:dyDescent="0.15">
      <c r="A8" s="241" t="str">
        <f>IF(L8=0,"",IF(L8=L7,"",L8))</f>
        <v/>
      </c>
      <c r="B8" s="246" t="str">
        <f>IF(J8=J7,"",J8)</f>
        <v/>
      </c>
      <c r="C8" s="252" t="str">
        <f t="shared" si="0"/>
        <v/>
      </c>
      <c r="D8" s="243" t="str">
        <f>IF(J8=J7,"",K8)</f>
        <v/>
      </c>
      <c r="E8" s="244" t="str">
        <f>IF(J8=J7,"",M8)</f>
        <v/>
      </c>
      <c r="F8" s="249"/>
      <c r="G8" s="249"/>
      <c r="H8" s="249"/>
      <c r="I8" s="230">
        <v>4</v>
      </c>
      <c r="J8" s="230" t="str">
        <f>_xlfn.XLOOKUP(I8,'Order Page'!W$24:W$393,'Order Page'!C$24:C$393,"")</f>
        <v/>
      </c>
      <c r="K8" s="230" t="str">
        <f>_xlfn.XLOOKUP(I8,'Order Page'!W$24:W$393,'Order Page'!U$24:U$393,"")</f>
        <v/>
      </c>
      <c r="L8" s="230" t="str">
        <f>_xlfn.XLOOKUP(I8,'Order Page'!W$24:W$393,'Order Page'!S$24:S$393,"")</f>
        <v/>
      </c>
      <c r="M8" s="230" t="str">
        <f>_xlfn.XLOOKUP(I8,'Order Page'!W$24:W$393,'Order Page'!B$24:B$393,"")</f>
        <v/>
      </c>
      <c r="N8" s="230" t="str">
        <f>_xlfn.XLOOKUP(I8,'Order Page'!W$24:W$393,'Order Page'!F$24:F$393,"")</f>
        <v/>
      </c>
      <c r="O8" s="249"/>
      <c r="P8" s="249"/>
      <c r="Q8" s="251"/>
      <c r="R8" s="245"/>
    </row>
    <row r="9" spans="1:32" x14ac:dyDescent="0.15">
      <c r="A9" s="241" t="str">
        <f>IF(L9=0,"",IF(L9=L8,"",L9))</f>
        <v/>
      </c>
      <c r="B9" s="246" t="str">
        <f>IF(J9=J8,"",J9)</f>
        <v/>
      </c>
      <c r="C9" s="252" t="str">
        <f t="shared" si="0"/>
        <v/>
      </c>
      <c r="D9" s="243" t="str">
        <f>IF(J9=J8,"",K9)</f>
        <v/>
      </c>
      <c r="E9" s="244" t="str">
        <f>IF(J9=J8,"",M9)</f>
        <v/>
      </c>
      <c r="F9" s="249"/>
      <c r="G9" s="249"/>
      <c r="H9" s="249"/>
      <c r="I9" s="230">
        <v>5</v>
      </c>
      <c r="J9" s="230" t="str">
        <f>_xlfn.XLOOKUP(I9,'Order Page'!W$24:W$393,'Order Page'!C$24:C$393,"")</f>
        <v/>
      </c>
      <c r="K9" s="230" t="str">
        <f>_xlfn.XLOOKUP(I9,'Order Page'!W$24:W$393,'Order Page'!U$24:U$393,"")</f>
        <v/>
      </c>
      <c r="L9" s="230" t="str">
        <f>_xlfn.XLOOKUP(I9,'Order Page'!W$24:W$393,'Order Page'!S$24:S$393,"")</f>
        <v/>
      </c>
      <c r="M9" s="230" t="str">
        <f>_xlfn.XLOOKUP(I9,'Order Page'!W$24:W$393,'Order Page'!B$24:B$393,"")</f>
        <v/>
      </c>
      <c r="N9" s="230" t="str">
        <f>_xlfn.XLOOKUP(I9,'Order Page'!W$24:W$393,'Order Page'!F$24:F$393,"")</f>
        <v/>
      </c>
      <c r="O9" s="249"/>
      <c r="P9" s="249"/>
      <c r="Q9" s="251"/>
      <c r="R9" s="245"/>
    </row>
    <row r="10" spans="1:32" x14ac:dyDescent="0.15">
      <c r="A10" s="241" t="str">
        <f t="shared" ref="A10:A73" si="1">IF(L10=0,"",IF(L10=L9,"",L10))</f>
        <v/>
      </c>
      <c r="B10" s="246" t="str">
        <f>IF(J10=J9,"",J10)</f>
        <v/>
      </c>
      <c r="C10" s="252" t="str">
        <f t="shared" si="0"/>
        <v/>
      </c>
      <c r="D10" s="243" t="str">
        <f t="shared" ref="D10:D73" si="2">IF(J10=J9,"",K10)</f>
        <v/>
      </c>
      <c r="E10" s="244" t="str">
        <f>IF(J10=J9,"",M10)</f>
        <v/>
      </c>
      <c r="F10" s="249"/>
      <c r="G10" s="249"/>
      <c r="H10" s="249"/>
      <c r="I10" s="230">
        <v>6</v>
      </c>
      <c r="J10" s="230" t="str">
        <f>_xlfn.XLOOKUP(I10,'Order Page'!W$24:W$393,'Order Page'!C$24:C$393,"")</f>
        <v/>
      </c>
      <c r="K10" s="230" t="str">
        <f>_xlfn.XLOOKUP(I10,'Order Page'!W$24:W$393,'Order Page'!U$24:U$393,"")</f>
        <v/>
      </c>
      <c r="L10" s="230" t="str">
        <f>_xlfn.XLOOKUP(I10,'Order Page'!W$24:W$393,'Order Page'!S$24:S$393,"")</f>
        <v/>
      </c>
      <c r="M10" s="230" t="str">
        <f>_xlfn.XLOOKUP(I10,'Order Page'!W$24:W$393,'Order Page'!B$24:B$393,"")</f>
        <v/>
      </c>
      <c r="N10" s="230" t="str">
        <f>_xlfn.XLOOKUP(I10,'Order Page'!W$24:W$393,'Order Page'!F$24:F$393,"")</f>
        <v/>
      </c>
      <c r="O10" s="249"/>
      <c r="P10" s="249"/>
      <c r="Q10" s="251"/>
      <c r="R10" s="245"/>
    </row>
    <row r="11" spans="1:32" x14ac:dyDescent="0.15">
      <c r="A11" s="241" t="str">
        <f t="shared" si="1"/>
        <v/>
      </c>
      <c r="B11" s="246" t="str">
        <f>IF(J11=J10,"",J11)</f>
        <v/>
      </c>
      <c r="C11" s="252" t="str">
        <f t="shared" si="0"/>
        <v/>
      </c>
      <c r="D11" s="243" t="str">
        <f t="shared" si="2"/>
        <v/>
      </c>
      <c r="E11" s="244" t="str">
        <f t="shared" ref="E11:E74" si="3">IF(J11=J10,"",M11)</f>
        <v/>
      </c>
      <c r="F11" s="249"/>
      <c r="G11" s="249"/>
      <c r="H11" s="249"/>
      <c r="I11" s="230">
        <v>7</v>
      </c>
      <c r="J11" s="230" t="str">
        <f>_xlfn.XLOOKUP(I11,'Order Page'!W$24:W$393,'Order Page'!C$24:C$393,"")</f>
        <v/>
      </c>
      <c r="K11" s="230" t="str">
        <f>_xlfn.XLOOKUP(I11,'Order Page'!W$24:W$393,'Order Page'!U$24:U$393,"")</f>
        <v/>
      </c>
      <c r="L11" s="230" t="str">
        <f>_xlfn.XLOOKUP(I11,'Order Page'!W$24:W$393,'Order Page'!S$24:S$393,"")</f>
        <v/>
      </c>
      <c r="M11" s="230" t="str">
        <f>_xlfn.XLOOKUP(I11,'Order Page'!W$24:W$393,'Order Page'!B$24:B$393,"")</f>
        <v/>
      </c>
      <c r="N11" s="230" t="str">
        <f>_xlfn.XLOOKUP(I11,'Order Page'!W$24:W$393,'Order Page'!F$24:F$393,"")</f>
        <v/>
      </c>
      <c r="O11" s="249"/>
      <c r="P11" s="249"/>
      <c r="Q11" s="251"/>
      <c r="R11" s="245"/>
    </row>
    <row r="12" spans="1:32" x14ac:dyDescent="0.15">
      <c r="A12" s="241" t="str">
        <f t="shared" si="1"/>
        <v/>
      </c>
      <c r="B12" s="246" t="str">
        <f t="shared" ref="B12:B75" si="4">IF(J12=J11,"",J12)</f>
        <v/>
      </c>
      <c r="C12" s="252" t="str">
        <f t="shared" si="0"/>
        <v/>
      </c>
      <c r="D12" s="243" t="str">
        <f t="shared" si="2"/>
        <v/>
      </c>
      <c r="E12" s="244" t="str">
        <f>IF(J12=J11,"",M12)</f>
        <v/>
      </c>
      <c r="F12" s="249"/>
      <c r="G12" s="249"/>
      <c r="H12" s="249"/>
      <c r="I12" s="230">
        <v>8</v>
      </c>
      <c r="J12" s="230" t="str">
        <f>_xlfn.XLOOKUP(I12,'Order Page'!W$24:W$393,'Order Page'!C$24:C$393,"")</f>
        <v/>
      </c>
      <c r="K12" s="230" t="str">
        <f>_xlfn.XLOOKUP(I12,'Order Page'!W$24:W$393,'Order Page'!U$24:U$393,"")</f>
        <v/>
      </c>
      <c r="L12" s="230" t="str">
        <f>_xlfn.XLOOKUP(I12,'Order Page'!W$24:W$393,'Order Page'!S$24:S$393,"")</f>
        <v/>
      </c>
      <c r="M12" s="230" t="str">
        <f>_xlfn.XLOOKUP(I12,'Order Page'!W$24:W$393,'Order Page'!B$24:B$393,"")</f>
        <v/>
      </c>
      <c r="N12" s="230" t="str">
        <f>_xlfn.XLOOKUP(I12,'Order Page'!W$24:W$393,'Order Page'!F$24:F$393,"")</f>
        <v/>
      </c>
      <c r="O12" s="249"/>
      <c r="P12" s="249"/>
      <c r="Q12" s="251"/>
      <c r="R12" s="245"/>
    </row>
    <row r="13" spans="1:32" x14ac:dyDescent="0.15">
      <c r="A13" s="241" t="str">
        <f t="shared" si="1"/>
        <v/>
      </c>
      <c r="B13" s="246" t="str">
        <f>IF(J13=J12,"",J13)</f>
        <v/>
      </c>
      <c r="C13" s="252" t="str">
        <f t="shared" si="0"/>
        <v/>
      </c>
      <c r="D13" s="243" t="str">
        <f t="shared" si="2"/>
        <v/>
      </c>
      <c r="E13" s="244" t="str">
        <f>IF(J13=J12,"",M13)</f>
        <v/>
      </c>
      <c r="F13" s="249"/>
      <c r="G13" s="249"/>
      <c r="H13" s="249"/>
      <c r="I13" s="230">
        <v>9</v>
      </c>
      <c r="J13" s="230" t="str">
        <f>_xlfn.XLOOKUP(I13,'Order Page'!W$24:W$393,'Order Page'!C$24:C$393,"")</f>
        <v/>
      </c>
      <c r="K13" s="230" t="str">
        <f>_xlfn.XLOOKUP(I13,'Order Page'!W$24:W$393,'Order Page'!U$24:U$393,"")</f>
        <v/>
      </c>
      <c r="L13" s="230" t="str">
        <f>_xlfn.XLOOKUP(I13,'Order Page'!W$24:W$393,'Order Page'!S$24:S$393,"")</f>
        <v/>
      </c>
      <c r="M13" s="230" t="str">
        <f>_xlfn.XLOOKUP(I13,'Order Page'!W$24:W$393,'Order Page'!B$24:B$393,"")</f>
        <v/>
      </c>
      <c r="N13" s="230" t="str">
        <f>_xlfn.XLOOKUP(I13,'Order Page'!W$24:W$393,'Order Page'!F$24:F$393,"")</f>
        <v/>
      </c>
      <c r="O13" s="249"/>
      <c r="P13" s="249"/>
      <c r="Q13" s="251"/>
      <c r="R13" s="245"/>
    </row>
    <row r="14" spans="1:32" x14ac:dyDescent="0.15">
      <c r="A14" s="241" t="str">
        <f t="shared" si="1"/>
        <v/>
      </c>
      <c r="B14" s="246" t="str">
        <f t="shared" si="4"/>
        <v/>
      </c>
      <c r="C14" s="252" t="str">
        <f t="shared" si="0"/>
        <v/>
      </c>
      <c r="D14" s="243" t="str">
        <f t="shared" si="2"/>
        <v/>
      </c>
      <c r="E14" s="244" t="str">
        <f t="shared" si="3"/>
        <v/>
      </c>
      <c r="F14" s="249"/>
      <c r="G14" s="249"/>
      <c r="H14" s="249"/>
      <c r="I14" s="230">
        <v>10</v>
      </c>
      <c r="J14" s="230" t="str">
        <f>_xlfn.XLOOKUP(I14,'Order Page'!W$24:W$393,'Order Page'!C$24:C$393,"")</f>
        <v/>
      </c>
      <c r="K14" s="230" t="str">
        <f>_xlfn.XLOOKUP(I14,'Order Page'!W$24:W$393,'Order Page'!U$24:U$393,"")</f>
        <v/>
      </c>
      <c r="L14" s="230" t="str">
        <f>_xlfn.XLOOKUP(I14,'Order Page'!W$24:W$393,'Order Page'!S$24:S$393,"")</f>
        <v/>
      </c>
      <c r="M14" s="230" t="str">
        <f>_xlfn.XLOOKUP(I14,'Order Page'!W$24:W$393,'Order Page'!B$24:B$393,"")</f>
        <v/>
      </c>
      <c r="N14" s="230" t="str">
        <f>_xlfn.XLOOKUP(I14,'Order Page'!W$24:W$393,'Order Page'!F$24:F$393,"")</f>
        <v/>
      </c>
      <c r="O14" s="249"/>
      <c r="P14" s="249"/>
      <c r="Q14" s="251"/>
      <c r="R14" s="245"/>
    </row>
    <row r="15" spans="1:32" x14ac:dyDescent="0.15">
      <c r="A15" s="241" t="str">
        <f t="shared" si="1"/>
        <v/>
      </c>
      <c r="B15" s="246" t="str">
        <f t="shared" si="4"/>
        <v/>
      </c>
      <c r="C15" s="252" t="str">
        <f t="shared" si="0"/>
        <v/>
      </c>
      <c r="D15" s="243" t="str">
        <f>IF(J15=J14,"",K15)</f>
        <v/>
      </c>
      <c r="E15" s="244" t="str">
        <f t="shared" si="3"/>
        <v/>
      </c>
      <c r="F15" s="249"/>
      <c r="G15" s="249"/>
      <c r="H15" s="249"/>
      <c r="I15" s="230">
        <v>11</v>
      </c>
      <c r="J15" s="230" t="str">
        <f>_xlfn.XLOOKUP(I15,'Order Page'!W$24:W$393,'Order Page'!C$24:C$393,"")</f>
        <v/>
      </c>
      <c r="K15" s="230" t="str">
        <f>_xlfn.XLOOKUP(I15,'Order Page'!W$24:W$393,'Order Page'!U$24:U$393,"")</f>
        <v/>
      </c>
      <c r="L15" s="230" t="str">
        <f>_xlfn.XLOOKUP(I15,'Order Page'!W$24:W$393,'Order Page'!S$24:S$393,"")</f>
        <v/>
      </c>
      <c r="M15" s="230" t="str">
        <f>_xlfn.XLOOKUP(I15,'Order Page'!W$24:W$393,'Order Page'!B$24:B$393,"")</f>
        <v/>
      </c>
      <c r="N15" s="230" t="str">
        <f>_xlfn.XLOOKUP(I15,'Order Page'!W$24:W$393,'Order Page'!F$24:F$393,"")</f>
        <v/>
      </c>
      <c r="O15" s="249"/>
      <c r="P15" s="249"/>
      <c r="Q15" s="251"/>
      <c r="R15" s="245"/>
    </row>
    <row r="16" spans="1:32" x14ac:dyDescent="0.15">
      <c r="A16" s="241" t="str">
        <f t="shared" si="1"/>
        <v/>
      </c>
      <c r="B16" s="246" t="str">
        <f t="shared" si="4"/>
        <v/>
      </c>
      <c r="C16" s="252" t="str">
        <f t="shared" si="0"/>
        <v/>
      </c>
      <c r="D16" s="243" t="str">
        <f>IF(J16=J15,"",K16)</f>
        <v/>
      </c>
      <c r="E16" s="244" t="str">
        <f t="shared" si="3"/>
        <v/>
      </c>
      <c r="F16" s="249"/>
      <c r="G16" s="249"/>
      <c r="H16" s="249"/>
      <c r="I16" s="230">
        <v>12</v>
      </c>
      <c r="J16" s="230" t="str">
        <f>_xlfn.XLOOKUP(I16,'Order Page'!W$24:W$393,'Order Page'!C$24:C$393,"")</f>
        <v/>
      </c>
      <c r="K16" s="230" t="str">
        <f>_xlfn.XLOOKUP(I16,'Order Page'!W$24:W$393,'Order Page'!U$24:U$393,"")</f>
        <v/>
      </c>
      <c r="L16" s="230" t="str">
        <f>_xlfn.XLOOKUP(I16,'Order Page'!W$24:W$393,'Order Page'!S$24:S$393,"")</f>
        <v/>
      </c>
      <c r="M16" s="230" t="str">
        <f>_xlfn.XLOOKUP(I16,'Order Page'!W$24:W$393,'Order Page'!B$24:B$393,"")</f>
        <v/>
      </c>
      <c r="N16" s="230" t="str">
        <f>_xlfn.XLOOKUP(I16,'Order Page'!W$24:W$393,'Order Page'!F$24:F$393,"")</f>
        <v/>
      </c>
      <c r="O16" s="249"/>
      <c r="P16" s="249"/>
      <c r="Q16" s="251"/>
      <c r="R16" s="245"/>
    </row>
    <row r="17" spans="1:30" x14ac:dyDescent="0.15">
      <c r="A17" s="241" t="str">
        <f t="shared" si="1"/>
        <v/>
      </c>
      <c r="B17" s="246" t="str">
        <f t="shared" si="4"/>
        <v/>
      </c>
      <c r="C17" s="252" t="str">
        <f t="shared" si="0"/>
        <v/>
      </c>
      <c r="D17" s="243" t="str">
        <f t="shared" si="2"/>
        <v/>
      </c>
      <c r="E17" s="244" t="str">
        <f t="shared" si="3"/>
        <v/>
      </c>
      <c r="F17" s="249"/>
      <c r="G17" s="249"/>
      <c r="H17" s="249"/>
      <c r="I17" s="230">
        <v>13</v>
      </c>
      <c r="J17" s="230" t="str">
        <f>_xlfn.XLOOKUP(I17,'Order Page'!W$24:W$393,'Order Page'!C$24:C$393,"")</f>
        <v/>
      </c>
      <c r="K17" s="230" t="str">
        <f>_xlfn.XLOOKUP(I17,'Order Page'!W$24:W$393,'Order Page'!U$24:U$393,"")</f>
        <v/>
      </c>
      <c r="L17" s="230" t="str">
        <f>_xlfn.XLOOKUP(I17,'Order Page'!W$24:W$393,'Order Page'!S$24:S$393,"")</f>
        <v/>
      </c>
      <c r="M17" s="230" t="str">
        <f>_xlfn.XLOOKUP(I17,'Order Page'!W$24:W$393,'Order Page'!B$24:B$393,"")</f>
        <v/>
      </c>
      <c r="N17" s="230" t="str">
        <f>_xlfn.XLOOKUP(I17,'Order Page'!W$24:W$393,'Order Page'!F$24:F$393,"")</f>
        <v/>
      </c>
      <c r="O17" s="249"/>
      <c r="P17" s="249"/>
      <c r="Q17" s="251"/>
      <c r="R17" s="245"/>
    </row>
    <row r="18" spans="1:30" x14ac:dyDescent="0.15">
      <c r="A18" s="241" t="str">
        <f t="shared" si="1"/>
        <v/>
      </c>
      <c r="B18" s="246" t="str">
        <f t="shared" si="4"/>
        <v/>
      </c>
      <c r="C18" s="252" t="str">
        <f t="shared" si="0"/>
        <v/>
      </c>
      <c r="D18" s="243" t="str">
        <f t="shared" si="2"/>
        <v/>
      </c>
      <c r="E18" s="244" t="str">
        <f t="shared" si="3"/>
        <v/>
      </c>
      <c r="F18" s="249"/>
      <c r="G18" s="249"/>
      <c r="H18" s="249"/>
      <c r="I18" s="230">
        <v>14</v>
      </c>
      <c r="J18" s="230" t="str">
        <f>_xlfn.XLOOKUP(I18,'Order Page'!W$24:W$393,'Order Page'!C$24:C$393,"")</f>
        <v/>
      </c>
      <c r="K18" s="230" t="str">
        <f>_xlfn.XLOOKUP(I18,'Order Page'!W$24:W$393,'Order Page'!U$24:U$393,"")</f>
        <v/>
      </c>
      <c r="L18" s="230" t="str">
        <f>_xlfn.XLOOKUP(I18,'Order Page'!W$24:W$393,'Order Page'!S$24:S$393,"")</f>
        <v/>
      </c>
      <c r="M18" s="230" t="str">
        <f>_xlfn.XLOOKUP(I18,'Order Page'!W$24:W$393,'Order Page'!B$24:B$393,"")</f>
        <v/>
      </c>
      <c r="N18" s="230" t="str">
        <f>_xlfn.XLOOKUP(I18,'Order Page'!W$24:W$393,'Order Page'!F$24:F$393,"")</f>
        <v/>
      </c>
      <c r="O18" s="249"/>
      <c r="P18" s="249"/>
      <c r="Q18" s="251"/>
      <c r="R18" s="245"/>
    </row>
    <row r="19" spans="1:30" x14ac:dyDescent="0.15">
      <c r="A19" s="241" t="str">
        <f t="shared" si="1"/>
        <v/>
      </c>
      <c r="B19" s="246" t="str">
        <f t="shared" si="4"/>
        <v/>
      </c>
      <c r="C19" s="252" t="str">
        <f t="shared" si="0"/>
        <v/>
      </c>
      <c r="D19" s="243" t="str">
        <f>IF(J19=J18,"",K19)</f>
        <v/>
      </c>
      <c r="E19" s="244" t="str">
        <f t="shared" si="3"/>
        <v/>
      </c>
      <c r="F19" s="249"/>
      <c r="G19" s="249"/>
      <c r="H19" s="249"/>
      <c r="I19" s="230">
        <v>15</v>
      </c>
      <c r="J19" s="230" t="str">
        <f>_xlfn.XLOOKUP(I19,'Order Page'!W$24:W$393,'Order Page'!C$24:C$393,"")</f>
        <v/>
      </c>
      <c r="K19" s="230" t="str">
        <f>_xlfn.XLOOKUP(I19,'Order Page'!W$24:W$393,'Order Page'!U$24:U$393,"")</f>
        <v/>
      </c>
      <c r="L19" s="230" t="str">
        <f>_xlfn.XLOOKUP(I19,'Order Page'!W$24:W$393,'Order Page'!S$24:S$393,"")</f>
        <v/>
      </c>
      <c r="M19" s="230" t="str">
        <f>_xlfn.XLOOKUP(I19,'Order Page'!W$24:W$393,'Order Page'!B$24:B$393,"")</f>
        <v/>
      </c>
      <c r="N19" s="230" t="str">
        <f>_xlfn.XLOOKUP(I19,'Order Page'!W$24:W$393,'Order Page'!F$24:F$393,"")</f>
        <v/>
      </c>
      <c r="O19" s="249"/>
      <c r="P19" s="249"/>
      <c r="Q19" s="251"/>
      <c r="R19" s="245"/>
    </row>
    <row r="20" spans="1:30" x14ac:dyDescent="0.15">
      <c r="A20" s="241" t="str">
        <f t="shared" si="1"/>
        <v/>
      </c>
      <c r="B20" s="246" t="str">
        <f t="shared" si="4"/>
        <v/>
      </c>
      <c r="C20" s="252" t="str">
        <f t="shared" si="0"/>
        <v/>
      </c>
      <c r="D20" s="243" t="str">
        <f t="shared" si="2"/>
        <v/>
      </c>
      <c r="E20" s="244" t="str">
        <f t="shared" si="3"/>
        <v/>
      </c>
      <c r="F20" s="249"/>
      <c r="G20" s="249"/>
      <c r="H20" s="249"/>
      <c r="I20" s="230">
        <v>16</v>
      </c>
      <c r="J20" s="230" t="str">
        <f>_xlfn.XLOOKUP(I20,'Order Page'!W$24:W$393,'Order Page'!C$24:C$393,"")</f>
        <v/>
      </c>
      <c r="K20" s="230" t="str">
        <f>_xlfn.XLOOKUP(I20,'Order Page'!W$24:W$393,'Order Page'!U$24:U$393,"")</f>
        <v/>
      </c>
      <c r="L20" s="230" t="str">
        <f>_xlfn.XLOOKUP(I20,'Order Page'!W$24:W$393,'Order Page'!S$24:S$393,"")</f>
        <v/>
      </c>
      <c r="M20" s="230" t="str">
        <f>_xlfn.XLOOKUP(I20,'Order Page'!W$24:W$393,'Order Page'!B$24:B$393,"")</f>
        <v/>
      </c>
      <c r="N20" s="230" t="str">
        <f>_xlfn.XLOOKUP(I20,'Order Page'!W$24:W$393,'Order Page'!F$24:F$393,"")</f>
        <v/>
      </c>
      <c r="O20" s="249"/>
      <c r="P20" s="249"/>
      <c r="Q20" s="251"/>
      <c r="R20" s="245"/>
    </row>
    <row r="21" spans="1:30" x14ac:dyDescent="0.15">
      <c r="A21" s="241" t="str">
        <f t="shared" si="1"/>
        <v/>
      </c>
      <c r="B21" s="246" t="str">
        <f t="shared" si="4"/>
        <v/>
      </c>
      <c r="C21" s="252" t="str">
        <f t="shared" si="0"/>
        <v/>
      </c>
      <c r="D21" s="243" t="str">
        <f t="shared" si="2"/>
        <v/>
      </c>
      <c r="E21" s="244" t="str">
        <f t="shared" si="3"/>
        <v/>
      </c>
      <c r="F21" s="249"/>
      <c r="G21" s="249"/>
      <c r="H21" s="249"/>
      <c r="I21" s="230">
        <v>17</v>
      </c>
      <c r="J21" s="230" t="str">
        <f>_xlfn.XLOOKUP(I21,'Order Page'!W$24:W$393,'Order Page'!C$24:C$393,"")</f>
        <v/>
      </c>
      <c r="K21" s="230" t="str">
        <f>_xlfn.XLOOKUP(I21,'Order Page'!W$24:W$393,'Order Page'!U$24:U$393,"")</f>
        <v/>
      </c>
      <c r="L21" s="230" t="str">
        <f>_xlfn.XLOOKUP(I21,'Order Page'!W$24:W$393,'Order Page'!S$24:S$393,"")</f>
        <v/>
      </c>
      <c r="M21" s="230" t="str">
        <f>_xlfn.XLOOKUP(I21,'Order Page'!W$24:W$393,'Order Page'!B$24:B$393,"")</f>
        <v/>
      </c>
      <c r="N21" s="230" t="str">
        <f>_xlfn.XLOOKUP(I21,'Order Page'!W$24:W$393,'Order Page'!F$24:F$393,"")</f>
        <v/>
      </c>
      <c r="O21" s="249"/>
      <c r="P21" s="249"/>
      <c r="Q21" s="251"/>
      <c r="R21" s="245"/>
    </row>
    <row r="22" spans="1:30" x14ac:dyDescent="0.15">
      <c r="A22" s="241" t="str">
        <f t="shared" si="1"/>
        <v/>
      </c>
      <c r="B22" s="246" t="str">
        <f t="shared" si="4"/>
        <v/>
      </c>
      <c r="C22" s="252" t="str">
        <f t="shared" si="0"/>
        <v/>
      </c>
      <c r="D22" s="243" t="str">
        <f t="shared" si="2"/>
        <v/>
      </c>
      <c r="E22" s="244" t="str">
        <f t="shared" si="3"/>
        <v/>
      </c>
      <c r="F22" s="249"/>
      <c r="G22" s="249"/>
      <c r="H22" s="249"/>
      <c r="I22" s="230">
        <v>18</v>
      </c>
      <c r="J22" s="230" t="str">
        <f>_xlfn.XLOOKUP(I22,'Order Page'!W$24:W$393,'Order Page'!C$24:C$393,"")</f>
        <v/>
      </c>
      <c r="K22" s="230" t="str">
        <f>_xlfn.XLOOKUP(I22,'Order Page'!W$24:W$393,'Order Page'!U$24:U$393,"")</f>
        <v/>
      </c>
      <c r="L22" s="230" t="str">
        <f>_xlfn.XLOOKUP(I22,'Order Page'!W$24:W$393,'Order Page'!S$24:S$393,"")</f>
        <v/>
      </c>
      <c r="M22" s="230" t="str">
        <f>_xlfn.XLOOKUP(I22,'Order Page'!W$24:W$393,'Order Page'!B$24:B$393,"")</f>
        <v/>
      </c>
      <c r="N22" s="230" t="str">
        <f>_xlfn.XLOOKUP(I22,'Order Page'!W$24:W$393,'Order Page'!F$24:F$393,"")</f>
        <v/>
      </c>
      <c r="O22" s="249"/>
      <c r="P22" s="249"/>
      <c r="Q22" s="251"/>
      <c r="R22" s="245"/>
    </row>
    <row r="23" spans="1:30" x14ac:dyDescent="0.15">
      <c r="A23" s="241" t="str">
        <f t="shared" si="1"/>
        <v/>
      </c>
      <c r="B23" s="246" t="str">
        <f t="shared" si="4"/>
        <v/>
      </c>
      <c r="C23" s="252" t="str">
        <f t="shared" si="0"/>
        <v/>
      </c>
      <c r="D23" s="243" t="str">
        <f t="shared" si="2"/>
        <v/>
      </c>
      <c r="E23" s="244" t="str">
        <f t="shared" si="3"/>
        <v/>
      </c>
      <c r="F23" s="249"/>
      <c r="G23" s="249"/>
      <c r="H23" s="249"/>
      <c r="I23" s="230">
        <v>19</v>
      </c>
      <c r="J23" s="230" t="str">
        <f>_xlfn.XLOOKUP(I23,'Order Page'!W$24:W$393,'Order Page'!C$24:C$393,"")</f>
        <v/>
      </c>
      <c r="K23" s="230" t="str">
        <f>_xlfn.XLOOKUP(I23,'Order Page'!W$24:W$393,'Order Page'!U$24:U$393,"")</f>
        <v/>
      </c>
      <c r="L23" s="230" t="str">
        <f>_xlfn.XLOOKUP(I23,'Order Page'!W$24:W$393,'Order Page'!S$24:S$393,"")</f>
        <v/>
      </c>
      <c r="M23" s="230" t="str">
        <f>_xlfn.XLOOKUP(I23,'Order Page'!W$24:W$393,'Order Page'!B$24:B$393,"")</f>
        <v/>
      </c>
      <c r="N23" s="230" t="str">
        <f>_xlfn.XLOOKUP(I23,'Order Page'!W$24:W$393,'Order Page'!F$24:F$393,"")</f>
        <v/>
      </c>
      <c r="O23" s="249"/>
      <c r="P23" s="249"/>
      <c r="Q23" s="251"/>
      <c r="R23" s="245"/>
    </row>
    <row r="24" spans="1:30" x14ac:dyDescent="0.15">
      <c r="A24" s="241" t="str">
        <f t="shared" si="1"/>
        <v/>
      </c>
      <c r="B24" s="246" t="str">
        <f t="shared" si="4"/>
        <v/>
      </c>
      <c r="C24" s="252" t="str">
        <f t="shared" si="0"/>
        <v/>
      </c>
      <c r="D24" s="243" t="str">
        <f t="shared" si="2"/>
        <v/>
      </c>
      <c r="E24" s="244" t="str">
        <f t="shared" si="3"/>
        <v/>
      </c>
      <c r="F24" s="249"/>
      <c r="G24" s="249"/>
      <c r="H24" s="249"/>
      <c r="I24" s="230">
        <v>20</v>
      </c>
      <c r="J24" s="230" t="str">
        <f>_xlfn.XLOOKUP(I24,'Order Page'!W$24:W$393,'Order Page'!C$24:C$393,"")</f>
        <v/>
      </c>
      <c r="K24" s="230" t="str">
        <f>_xlfn.XLOOKUP(I24,'Order Page'!W$24:W$393,'Order Page'!U$24:U$393,"")</f>
        <v/>
      </c>
      <c r="L24" s="230" t="str">
        <f>_xlfn.XLOOKUP(I24,'Order Page'!W$24:W$393,'Order Page'!S$24:S$393,"")</f>
        <v/>
      </c>
      <c r="M24" s="230" t="str">
        <f>_xlfn.XLOOKUP(I24,'Order Page'!W$24:W$393,'Order Page'!B$24:B$393,"")</f>
        <v/>
      </c>
      <c r="N24" s="230" t="str">
        <f>_xlfn.XLOOKUP(I24,'Order Page'!W$24:W$393,'Order Page'!F$24:F$393,"")</f>
        <v/>
      </c>
      <c r="O24" s="249"/>
      <c r="P24" s="249"/>
      <c r="Q24" s="251"/>
      <c r="R24" s="245"/>
    </row>
    <row r="25" spans="1:30" x14ac:dyDescent="0.15">
      <c r="A25" s="241" t="str">
        <f t="shared" si="1"/>
        <v/>
      </c>
      <c r="B25" s="246" t="str">
        <f>IF(J25=J24,"",J25)</f>
        <v/>
      </c>
      <c r="C25" s="252" t="str">
        <f t="shared" si="0"/>
        <v/>
      </c>
      <c r="D25" s="243" t="str">
        <f t="shared" si="2"/>
        <v/>
      </c>
      <c r="E25" s="244" t="str">
        <f t="shared" si="3"/>
        <v/>
      </c>
      <c r="F25" s="249"/>
      <c r="G25" s="249"/>
      <c r="H25" s="249"/>
      <c r="I25" s="230">
        <v>21</v>
      </c>
      <c r="J25" s="230" t="str">
        <f>_xlfn.XLOOKUP(I25,'Order Page'!W$24:W$393,'Order Page'!C$24:C$393,"")</f>
        <v/>
      </c>
      <c r="K25" s="230" t="str">
        <f>_xlfn.XLOOKUP(I25,'Order Page'!W$24:W$393,'Order Page'!U$24:U$393,"")</f>
        <v/>
      </c>
      <c r="L25" s="230" t="str">
        <f>_xlfn.XLOOKUP(I25,'Order Page'!W$24:W$393,'Order Page'!S$24:S$393,"")</f>
        <v/>
      </c>
      <c r="M25" s="230" t="str">
        <f>_xlfn.XLOOKUP(I25,'Order Page'!W$24:W$393,'Order Page'!B$24:B$393,"")</f>
        <v/>
      </c>
      <c r="N25" s="230" t="str">
        <f>_xlfn.XLOOKUP(I25,'Order Page'!W$24:W$393,'Order Page'!F$24:F$393,"")</f>
        <v/>
      </c>
      <c r="O25" s="249"/>
      <c r="P25" s="249"/>
      <c r="Q25" s="249"/>
    </row>
    <row r="26" spans="1:30" x14ac:dyDescent="0.15">
      <c r="A26" s="241" t="str">
        <f t="shared" si="1"/>
        <v/>
      </c>
      <c r="B26" s="246" t="str">
        <f t="shared" si="4"/>
        <v/>
      </c>
      <c r="C26" s="252" t="str">
        <f t="shared" si="0"/>
        <v/>
      </c>
      <c r="D26" s="243" t="str">
        <f t="shared" si="2"/>
        <v/>
      </c>
      <c r="E26" s="244" t="str">
        <f t="shared" si="3"/>
        <v/>
      </c>
      <c r="F26" s="249"/>
      <c r="G26" s="249"/>
      <c r="H26" s="249"/>
      <c r="I26" s="230">
        <v>22</v>
      </c>
      <c r="J26" s="230" t="str">
        <f>_xlfn.XLOOKUP(I26,'Order Page'!W$24:W$393,'Order Page'!C$24:C$393,"")</f>
        <v/>
      </c>
      <c r="K26" s="230" t="str">
        <f>_xlfn.XLOOKUP(I26,'Order Page'!W$24:W$393,'Order Page'!U$24:U$393,"")</f>
        <v/>
      </c>
      <c r="L26" s="230" t="str">
        <f>_xlfn.XLOOKUP(I26,'Order Page'!W$24:W$393,'Order Page'!S$24:S$393,"")</f>
        <v/>
      </c>
      <c r="M26" s="230" t="str">
        <f>_xlfn.XLOOKUP(I26,'Order Page'!W$24:W$393,'Order Page'!B$24:B$393,"")</f>
        <v/>
      </c>
      <c r="N26" s="230" t="str">
        <f>_xlfn.XLOOKUP(I26,'Order Page'!W$24:W$393,'Order Page'!F$24:F$393,"")</f>
        <v/>
      </c>
      <c r="O26" s="249"/>
      <c r="P26" s="249"/>
      <c r="Q26" s="249"/>
    </row>
    <row r="27" spans="1:30" x14ac:dyDescent="0.15">
      <c r="A27" s="241"/>
      <c r="B27" s="246" t="str">
        <f>IF(J27=J26,"",J27)</f>
        <v/>
      </c>
      <c r="C27" s="252" t="str">
        <f t="shared" si="0"/>
        <v/>
      </c>
      <c r="D27" s="243" t="str">
        <f t="shared" si="2"/>
        <v/>
      </c>
      <c r="E27" s="244" t="str">
        <f t="shared" si="3"/>
        <v/>
      </c>
      <c r="F27" s="249"/>
      <c r="G27" s="249"/>
      <c r="H27" s="249"/>
      <c r="I27" s="230">
        <v>23</v>
      </c>
      <c r="J27" s="230" t="str">
        <f>_xlfn.XLOOKUP(I27,'Order Page'!W$24:W$393,'Order Page'!C$24:C$393,"")</f>
        <v/>
      </c>
      <c r="K27" s="230" t="str">
        <f>_xlfn.XLOOKUP(I27,'Order Page'!W$24:W$393,'Order Page'!U$24:U$393,"")</f>
        <v/>
      </c>
      <c r="L27" s="230" t="str">
        <f>_xlfn.XLOOKUP(I27,'Order Page'!W$24:W$393,'Order Page'!S$24:S$393,"")</f>
        <v/>
      </c>
      <c r="M27" s="230" t="str">
        <f>_xlfn.XLOOKUP(I27,'Order Page'!W$24:W$393,'Order Page'!B$24:B$393,"")</f>
        <v/>
      </c>
      <c r="N27" s="230" t="str">
        <f>_xlfn.XLOOKUP(I27,'Order Page'!W$24:W$393,'Order Page'!F$24:F$393,"")</f>
        <v/>
      </c>
      <c r="O27" s="249"/>
      <c r="P27" s="249"/>
      <c r="Q27" s="249"/>
    </row>
    <row r="28" spans="1:30" x14ac:dyDescent="0.15">
      <c r="A28" s="241" t="str">
        <f t="shared" si="1"/>
        <v/>
      </c>
      <c r="B28" s="246" t="str">
        <f>IF(J28=J27,"",J28)</f>
        <v/>
      </c>
      <c r="C28" s="252" t="str">
        <f t="shared" si="0"/>
        <v/>
      </c>
      <c r="D28" s="243" t="str">
        <f t="shared" si="2"/>
        <v/>
      </c>
      <c r="E28" s="244" t="str">
        <f t="shared" si="3"/>
        <v/>
      </c>
      <c r="F28" s="249"/>
      <c r="G28" s="249"/>
      <c r="H28" s="249"/>
      <c r="I28" s="230">
        <v>24</v>
      </c>
      <c r="J28" s="230" t="str">
        <f>_xlfn.XLOOKUP(I28,'Order Page'!W$24:W$393,'Order Page'!C$24:C$393,"")</f>
        <v/>
      </c>
      <c r="K28" s="230" t="str">
        <f>_xlfn.XLOOKUP(I28,'Order Page'!W$24:W$393,'Order Page'!U$24:U$393,"")</f>
        <v/>
      </c>
      <c r="L28" s="230" t="str">
        <f>_xlfn.XLOOKUP(I28,'Order Page'!W$24:W$393,'Order Page'!S$24:S$393,"")</f>
        <v/>
      </c>
      <c r="M28" s="230" t="str">
        <f>_xlfn.XLOOKUP(I28,'Order Page'!W$24:W$393,'Order Page'!B$24:B$393,"")</f>
        <v/>
      </c>
      <c r="N28" s="230" t="str">
        <f>_xlfn.XLOOKUP(I28,'Order Page'!W$24:W$393,'Order Page'!F$24:F$393,"")</f>
        <v/>
      </c>
      <c r="O28" s="249"/>
      <c r="P28" s="249"/>
      <c r="Q28" s="249"/>
      <c r="AA28" s="247"/>
      <c r="AB28" s="247"/>
      <c r="AC28" s="247"/>
      <c r="AD28" s="247"/>
    </row>
    <row r="29" spans="1:30" x14ac:dyDescent="0.15">
      <c r="A29" s="241" t="str">
        <f t="shared" si="1"/>
        <v/>
      </c>
      <c r="B29" s="246" t="str">
        <f t="shared" si="4"/>
        <v/>
      </c>
      <c r="C29" s="252" t="str">
        <f t="shared" si="0"/>
        <v/>
      </c>
      <c r="D29" s="243" t="str">
        <f t="shared" si="2"/>
        <v/>
      </c>
      <c r="E29" s="244" t="str">
        <f t="shared" si="3"/>
        <v/>
      </c>
      <c r="F29" s="249"/>
      <c r="G29" s="249"/>
      <c r="H29" s="249"/>
      <c r="I29" s="230">
        <v>25</v>
      </c>
      <c r="J29" s="230" t="str">
        <f>_xlfn.XLOOKUP(I29,'Order Page'!W$24:W$393,'Order Page'!C$24:C$393,"")</f>
        <v/>
      </c>
      <c r="K29" s="230" t="str">
        <f>_xlfn.XLOOKUP(I29,'Order Page'!W$24:W$393,'Order Page'!U$24:U$393,"")</f>
        <v/>
      </c>
      <c r="L29" s="230" t="str">
        <f>_xlfn.XLOOKUP(I29,'Order Page'!W$24:W$393,'Order Page'!S$24:S$393,"")</f>
        <v/>
      </c>
      <c r="M29" s="230" t="str">
        <f>_xlfn.XLOOKUP(I29,'Order Page'!W$24:W$393,'Order Page'!B$24:B$393,"")</f>
        <v/>
      </c>
      <c r="N29" s="230" t="str">
        <f>_xlfn.XLOOKUP(I29,'Order Page'!W$24:W$393,'Order Page'!F$24:F$393,"")</f>
        <v/>
      </c>
      <c r="O29" s="249"/>
      <c r="P29" s="249"/>
      <c r="Q29" s="249"/>
      <c r="AA29" s="247"/>
      <c r="AB29" s="247"/>
      <c r="AC29" s="247"/>
      <c r="AD29" s="247"/>
    </row>
    <row r="30" spans="1:30" x14ac:dyDescent="0.15">
      <c r="A30" s="241" t="str">
        <f t="shared" si="1"/>
        <v/>
      </c>
      <c r="B30" s="246" t="str">
        <f t="shared" si="4"/>
        <v/>
      </c>
      <c r="C30" s="252" t="str">
        <f t="shared" si="0"/>
        <v/>
      </c>
      <c r="D30" s="243" t="str">
        <f t="shared" si="2"/>
        <v/>
      </c>
      <c r="E30" s="244" t="str">
        <f t="shared" si="3"/>
        <v/>
      </c>
      <c r="F30" s="249"/>
      <c r="G30" s="249"/>
      <c r="H30" s="249"/>
      <c r="I30" s="230">
        <v>26</v>
      </c>
      <c r="J30" s="230" t="str">
        <f>_xlfn.XLOOKUP(I30,'Order Page'!W$24:W$393,'Order Page'!C$24:C$393,"")</f>
        <v/>
      </c>
      <c r="K30" s="230" t="str">
        <f>_xlfn.XLOOKUP(I30,'Order Page'!W$24:W$393,'Order Page'!U$24:U$393,"")</f>
        <v/>
      </c>
      <c r="L30" s="230" t="str">
        <f>_xlfn.XLOOKUP(I30,'Order Page'!W$24:W$393,'Order Page'!S$24:S$393,"")</f>
        <v/>
      </c>
      <c r="M30" s="230" t="str">
        <f>_xlfn.XLOOKUP(I30,'Order Page'!W$24:W$393,'Order Page'!B$24:B$393,"")</f>
        <v/>
      </c>
      <c r="N30" s="230" t="str">
        <f>_xlfn.XLOOKUP(I30,'Order Page'!W$24:W$393,'Order Page'!F$24:F$393,"")</f>
        <v/>
      </c>
      <c r="O30" s="249"/>
      <c r="P30" s="249"/>
      <c r="Q30" s="249"/>
      <c r="AA30" s="247"/>
      <c r="AB30" s="247"/>
      <c r="AC30" s="247"/>
      <c r="AD30" s="247"/>
    </row>
    <row r="31" spans="1:30" x14ac:dyDescent="0.15">
      <c r="A31" s="241" t="str">
        <f t="shared" si="1"/>
        <v/>
      </c>
      <c r="B31" s="246" t="str">
        <f t="shared" si="4"/>
        <v/>
      </c>
      <c r="C31" s="252" t="str">
        <f t="shared" si="0"/>
        <v/>
      </c>
      <c r="D31" s="243" t="str">
        <f t="shared" si="2"/>
        <v/>
      </c>
      <c r="E31" s="244" t="str">
        <f t="shared" si="3"/>
        <v/>
      </c>
      <c r="F31" s="249"/>
      <c r="G31" s="249"/>
      <c r="H31" s="249"/>
      <c r="I31" s="230">
        <v>27</v>
      </c>
      <c r="J31" s="230" t="str">
        <f>_xlfn.XLOOKUP(I31,'Order Page'!W$24:W$393,'Order Page'!C$24:C$393,"")</f>
        <v/>
      </c>
      <c r="K31" s="230" t="str">
        <f>_xlfn.XLOOKUP(I31,'Order Page'!W$24:W$393,'Order Page'!U$24:U$393,"")</f>
        <v/>
      </c>
      <c r="L31" s="230" t="str">
        <f>_xlfn.XLOOKUP(I31,'Order Page'!W$24:W$393,'Order Page'!S$24:S$393,"")</f>
        <v/>
      </c>
      <c r="M31" s="230" t="str">
        <f>_xlfn.XLOOKUP(I31,'Order Page'!W$24:W$393,'Order Page'!B$24:B$393,"")</f>
        <v/>
      </c>
      <c r="N31" s="230" t="str">
        <f>_xlfn.XLOOKUP(I31,'Order Page'!W$24:W$393,'Order Page'!F$24:F$393,"")</f>
        <v/>
      </c>
      <c r="O31" s="249"/>
      <c r="P31" s="249"/>
      <c r="Q31" s="249"/>
      <c r="AA31" s="247"/>
      <c r="AB31" s="247"/>
      <c r="AC31" s="247"/>
      <c r="AD31" s="247"/>
    </row>
    <row r="32" spans="1:30" x14ac:dyDescent="0.15">
      <c r="A32" s="241" t="str">
        <f t="shared" si="1"/>
        <v/>
      </c>
      <c r="B32" s="246" t="str">
        <f t="shared" si="4"/>
        <v/>
      </c>
      <c r="C32" s="252" t="str">
        <f t="shared" si="0"/>
        <v/>
      </c>
      <c r="D32" s="243" t="str">
        <f t="shared" si="2"/>
        <v/>
      </c>
      <c r="E32" s="244" t="str">
        <f t="shared" si="3"/>
        <v/>
      </c>
      <c r="F32" s="249"/>
      <c r="G32" s="249"/>
      <c r="H32" s="249"/>
      <c r="I32" s="230">
        <v>28</v>
      </c>
      <c r="J32" s="230" t="str">
        <f>_xlfn.XLOOKUP(I32,'Order Page'!W$24:W$393,'Order Page'!C$24:C$393,"")</f>
        <v/>
      </c>
      <c r="K32" s="230" t="str">
        <f>_xlfn.XLOOKUP(I32,'Order Page'!W$24:W$393,'Order Page'!U$24:U$393,"")</f>
        <v/>
      </c>
      <c r="L32" s="230" t="str">
        <f>_xlfn.XLOOKUP(I32,'Order Page'!W$24:W$393,'Order Page'!S$24:S$393,"")</f>
        <v/>
      </c>
      <c r="M32" s="230" t="str">
        <f>_xlfn.XLOOKUP(I32,'Order Page'!W$24:W$393,'Order Page'!B$24:B$393,"")</f>
        <v/>
      </c>
      <c r="N32" s="230" t="str">
        <f>_xlfn.XLOOKUP(I32,'Order Page'!W$24:W$393,'Order Page'!F$24:F$393,"")</f>
        <v/>
      </c>
      <c r="O32" s="249"/>
      <c r="P32" s="249"/>
      <c r="Q32" s="249"/>
      <c r="AA32" s="247"/>
      <c r="AB32" s="247"/>
      <c r="AC32" s="247"/>
      <c r="AD32" s="247"/>
    </row>
    <row r="33" spans="1:30" x14ac:dyDescent="0.15">
      <c r="A33" s="241" t="str">
        <f t="shared" si="1"/>
        <v/>
      </c>
      <c r="B33" s="246" t="str">
        <f t="shared" si="4"/>
        <v/>
      </c>
      <c r="C33" s="252" t="str">
        <f t="shared" si="0"/>
        <v/>
      </c>
      <c r="D33" s="243" t="str">
        <f t="shared" si="2"/>
        <v/>
      </c>
      <c r="E33" s="244" t="str">
        <f t="shared" si="3"/>
        <v/>
      </c>
      <c r="F33" s="249"/>
      <c r="G33" s="249"/>
      <c r="H33" s="249"/>
      <c r="I33" s="230">
        <v>29</v>
      </c>
      <c r="J33" s="230" t="str">
        <f>_xlfn.XLOOKUP(I33,'Order Page'!W$24:W$393,'Order Page'!C$24:C$393,"")</f>
        <v/>
      </c>
      <c r="K33" s="230" t="str">
        <f>_xlfn.XLOOKUP(I33,'Order Page'!W$24:W$393,'Order Page'!U$24:U$393,"")</f>
        <v/>
      </c>
      <c r="L33" s="230" t="str">
        <f>_xlfn.XLOOKUP(I33,'Order Page'!W$24:W$393,'Order Page'!S$24:S$393,"")</f>
        <v/>
      </c>
      <c r="M33" s="230" t="str">
        <f>_xlfn.XLOOKUP(I33,'Order Page'!W$24:W$393,'Order Page'!B$24:B$393,"")</f>
        <v/>
      </c>
      <c r="N33" s="230" t="str">
        <f>_xlfn.XLOOKUP(I33,'Order Page'!W$24:W$393,'Order Page'!F$24:F$393,"")</f>
        <v/>
      </c>
      <c r="O33" s="249"/>
      <c r="P33" s="249"/>
      <c r="Q33" s="249"/>
      <c r="AA33" s="247"/>
      <c r="AB33" s="247"/>
      <c r="AC33" s="247"/>
      <c r="AD33" s="247"/>
    </row>
    <row r="34" spans="1:30" x14ac:dyDescent="0.15">
      <c r="A34" s="241" t="str">
        <f t="shared" si="1"/>
        <v/>
      </c>
      <c r="B34" s="246" t="str">
        <f t="shared" si="4"/>
        <v/>
      </c>
      <c r="C34" s="252" t="str">
        <f t="shared" si="0"/>
        <v/>
      </c>
      <c r="D34" s="243" t="str">
        <f t="shared" si="2"/>
        <v/>
      </c>
      <c r="E34" s="244" t="str">
        <f t="shared" si="3"/>
        <v/>
      </c>
      <c r="F34" s="249"/>
      <c r="G34" s="249"/>
      <c r="H34" s="249"/>
      <c r="I34" s="230">
        <v>30</v>
      </c>
      <c r="J34" s="230" t="str">
        <f>_xlfn.XLOOKUP(I34,'Order Page'!W$24:W$393,'Order Page'!C$24:C$393,"")</f>
        <v/>
      </c>
      <c r="K34" s="230" t="str">
        <f>_xlfn.XLOOKUP(I34,'Order Page'!W$24:W$393,'Order Page'!U$24:U$393,"")</f>
        <v/>
      </c>
      <c r="L34" s="230" t="str">
        <f>_xlfn.XLOOKUP(I34,'Order Page'!W$24:W$393,'Order Page'!S$24:S$393,"")</f>
        <v/>
      </c>
      <c r="M34" s="230" t="str">
        <f>_xlfn.XLOOKUP(I34,'Order Page'!W$24:W$393,'Order Page'!B$24:B$393,"")</f>
        <v/>
      </c>
      <c r="N34" s="230" t="str">
        <f>_xlfn.XLOOKUP(I34,'Order Page'!W$24:W$393,'Order Page'!F$24:F$393,"")</f>
        <v/>
      </c>
      <c r="O34" s="249"/>
      <c r="P34" s="249"/>
      <c r="Q34" s="249"/>
      <c r="AA34" s="247"/>
      <c r="AB34" s="247"/>
      <c r="AC34" s="247"/>
      <c r="AD34" s="247"/>
    </row>
    <row r="35" spans="1:30" x14ac:dyDescent="0.15">
      <c r="A35" s="241" t="str">
        <f t="shared" si="1"/>
        <v/>
      </c>
      <c r="B35" s="246" t="str">
        <f t="shared" si="4"/>
        <v/>
      </c>
      <c r="C35" s="252" t="str">
        <f t="shared" si="0"/>
        <v/>
      </c>
      <c r="D35" s="243" t="str">
        <f t="shared" si="2"/>
        <v/>
      </c>
      <c r="E35" s="244" t="str">
        <f t="shared" si="3"/>
        <v/>
      </c>
      <c r="F35" s="249"/>
      <c r="G35" s="249"/>
      <c r="H35" s="249"/>
      <c r="I35" s="230">
        <v>31</v>
      </c>
      <c r="J35" s="230" t="str">
        <f>_xlfn.XLOOKUP(I35,'Order Page'!W$24:W$393,'Order Page'!C$24:C$393,"")</f>
        <v/>
      </c>
      <c r="K35" s="230" t="str">
        <f>_xlfn.XLOOKUP(I35,'Order Page'!W$24:W$393,'Order Page'!U$24:U$393,"")</f>
        <v/>
      </c>
      <c r="L35" s="230" t="str">
        <f>_xlfn.XLOOKUP(I35,'Order Page'!W$24:W$393,'Order Page'!S$24:S$393,"")</f>
        <v/>
      </c>
      <c r="M35" s="230" t="str">
        <f>_xlfn.XLOOKUP(I35,'Order Page'!W$24:W$393,'Order Page'!B$24:B$393,"")</f>
        <v/>
      </c>
      <c r="N35" s="230" t="str">
        <f>_xlfn.XLOOKUP(I35,'Order Page'!W$24:W$393,'Order Page'!F$24:F$393,"")</f>
        <v/>
      </c>
      <c r="O35" s="249"/>
      <c r="P35" s="249"/>
      <c r="Q35" s="249"/>
      <c r="AA35" s="247"/>
      <c r="AB35" s="247"/>
      <c r="AC35" s="247"/>
      <c r="AD35" s="247"/>
    </row>
    <row r="36" spans="1:30" x14ac:dyDescent="0.15">
      <c r="A36" s="241" t="str">
        <f t="shared" si="1"/>
        <v/>
      </c>
      <c r="B36" s="246" t="str">
        <f t="shared" si="4"/>
        <v/>
      </c>
      <c r="C36" s="252" t="str">
        <f t="shared" si="0"/>
        <v/>
      </c>
      <c r="D36" s="243" t="str">
        <f t="shared" si="2"/>
        <v/>
      </c>
      <c r="E36" s="244" t="str">
        <f t="shared" si="3"/>
        <v/>
      </c>
      <c r="F36" s="249"/>
      <c r="G36" s="249"/>
      <c r="H36" s="249"/>
      <c r="I36" s="230">
        <v>32</v>
      </c>
      <c r="J36" s="230" t="str">
        <f>_xlfn.XLOOKUP(I36,'Order Page'!W$24:W$393,'Order Page'!C$24:C$393,"")</f>
        <v/>
      </c>
      <c r="K36" s="230" t="str">
        <f>_xlfn.XLOOKUP(I36,'Order Page'!W$24:W$393,'Order Page'!U$24:U$393,"")</f>
        <v/>
      </c>
      <c r="L36" s="230" t="str">
        <f>_xlfn.XLOOKUP(I36,'Order Page'!W$24:W$393,'Order Page'!S$24:S$393,"")</f>
        <v/>
      </c>
      <c r="M36" s="230" t="str">
        <f>_xlfn.XLOOKUP(I36,'Order Page'!W$24:W$393,'Order Page'!B$24:B$393,"")</f>
        <v/>
      </c>
      <c r="N36" s="230" t="str">
        <f>_xlfn.XLOOKUP(I36,'Order Page'!W$24:W$393,'Order Page'!F$24:F$393,"")</f>
        <v/>
      </c>
      <c r="O36" s="249"/>
      <c r="P36" s="249"/>
      <c r="Q36" s="249"/>
      <c r="AA36" s="247"/>
      <c r="AB36" s="247"/>
      <c r="AC36" s="247"/>
      <c r="AD36" s="247"/>
    </row>
    <row r="37" spans="1:30" x14ac:dyDescent="0.15">
      <c r="A37" s="241" t="str">
        <f t="shared" si="1"/>
        <v/>
      </c>
      <c r="B37" s="246" t="str">
        <f t="shared" si="4"/>
        <v/>
      </c>
      <c r="C37" s="252" t="str">
        <f t="shared" si="0"/>
        <v/>
      </c>
      <c r="D37" s="243" t="str">
        <f t="shared" si="2"/>
        <v/>
      </c>
      <c r="E37" s="244" t="str">
        <f t="shared" si="3"/>
        <v/>
      </c>
      <c r="F37" s="249"/>
      <c r="G37" s="249"/>
      <c r="H37" s="249"/>
      <c r="I37" s="230">
        <v>33</v>
      </c>
      <c r="J37" s="230" t="str">
        <f>_xlfn.XLOOKUP(I37,'Order Page'!W$24:W$393,'Order Page'!C$24:C$393,"")</f>
        <v/>
      </c>
      <c r="K37" s="230" t="str">
        <f>_xlfn.XLOOKUP(I37,'Order Page'!W$24:W$393,'Order Page'!U$24:U$393,"")</f>
        <v/>
      </c>
      <c r="L37" s="230" t="str">
        <f>_xlfn.XLOOKUP(I37,'Order Page'!W$24:W$393,'Order Page'!S$24:S$393,"")</f>
        <v/>
      </c>
      <c r="M37" s="230" t="str">
        <f>_xlfn.XLOOKUP(I37,'Order Page'!W$24:W$393,'Order Page'!B$24:B$393,"")</f>
        <v/>
      </c>
      <c r="N37" s="230" t="str">
        <f>_xlfn.XLOOKUP(I37,'Order Page'!W$24:W$393,'Order Page'!F$24:F$393,"")</f>
        <v/>
      </c>
      <c r="O37" s="249"/>
      <c r="P37" s="249"/>
      <c r="Q37" s="249"/>
      <c r="AA37" s="247"/>
      <c r="AB37" s="247"/>
      <c r="AC37" s="247"/>
      <c r="AD37" s="247"/>
    </row>
    <row r="38" spans="1:30" x14ac:dyDescent="0.15">
      <c r="A38" s="241" t="str">
        <f t="shared" si="1"/>
        <v/>
      </c>
      <c r="B38" s="246" t="str">
        <f t="shared" si="4"/>
        <v/>
      </c>
      <c r="C38" s="252" t="str">
        <f t="shared" si="0"/>
        <v/>
      </c>
      <c r="D38" s="243" t="str">
        <f t="shared" si="2"/>
        <v/>
      </c>
      <c r="E38" s="244" t="str">
        <f t="shared" si="3"/>
        <v/>
      </c>
      <c r="F38" s="249"/>
      <c r="G38" s="249"/>
      <c r="H38" s="249"/>
      <c r="I38" s="230">
        <v>34</v>
      </c>
      <c r="J38" s="230" t="str">
        <f>_xlfn.XLOOKUP(I38,'Order Page'!W$24:W$393,'Order Page'!C$24:C$393,"")</f>
        <v/>
      </c>
      <c r="K38" s="230" t="str">
        <f>_xlfn.XLOOKUP(I38,'Order Page'!W$24:W$393,'Order Page'!U$24:U$393,"")</f>
        <v/>
      </c>
      <c r="L38" s="230" t="str">
        <f>_xlfn.XLOOKUP(I38,'Order Page'!W$24:W$393,'Order Page'!S$24:S$393,"")</f>
        <v/>
      </c>
      <c r="M38" s="230" t="str">
        <f>_xlfn.XLOOKUP(I38,'Order Page'!W$24:W$393,'Order Page'!B$24:B$393,"")</f>
        <v/>
      </c>
      <c r="N38" s="230" t="str">
        <f>_xlfn.XLOOKUP(I38,'Order Page'!W$24:W$393,'Order Page'!F$24:F$393,"")</f>
        <v/>
      </c>
      <c r="O38" s="249"/>
      <c r="P38" s="249"/>
      <c r="Q38" s="249"/>
      <c r="AA38" s="247"/>
      <c r="AB38" s="247"/>
      <c r="AC38" s="247"/>
      <c r="AD38" s="247"/>
    </row>
    <row r="39" spans="1:30" x14ac:dyDescent="0.15">
      <c r="A39" s="241" t="str">
        <f t="shared" si="1"/>
        <v/>
      </c>
      <c r="B39" s="246" t="str">
        <f t="shared" si="4"/>
        <v/>
      </c>
      <c r="C39" s="252" t="str">
        <f t="shared" si="0"/>
        <v/>
      </c>
      <c r="D39" s="243" t="str">
        <f t="shared" si="2"/>
        <v/>
      </c>
      <c r="E39" s="244" t="str">
        <f t="shared" si="3"/>
        <v/>
      </c>
      <c r="F39" s="249"/>
      <c r="G39" s="249"/>
      <c r="H39" s="249"/>
      <c r="I39" s="230">
        <v>35</v>
      </c>
      <c r="J39" s="230" t="str">
        <f>_xlfn.XLOOKUP(I39,'Order Page'!W$24:W$393,'Order Page'!C$24:C$393,"")</f>
        <v/>
      </c>
      <c r="K39" s="230" t="str">
        <f>_xlfn.XLOOKUP(I39,'Order Page'!W$24:W$393,'Order Page'!U$24:U$393,"")</f>
        <v/>
      </c>
      <c r="L39" s="230" t="str">
        <f>_xlfn.XLOOKUP(I39,'Order Page'!W$24:W$393,'Order Page'!S$24:S$393,"")</f>
        <v/>
      </c>
      <c r="M39" s="230" t="str">
        <f>_xlfn.XLOOKUP(I39,'Order Page'!W$24:W$393,'Order Page'!B$24:B$393,"")</f>
        <v/>
      </c>
      <c r="N39" s="230" t="str">
        <f>_xlfn.XLOOKUP(I39,'Order Page'!W$24:W$393,'Order Page'!F$24:F$393,"")</f>
        <v/>
      </c>
      <c r="O39" s="249"/>
      <c r="P39" s="249"/>
      <c r="Q39" s="249"/>
      <c r="AA39" s="247"/>
      <c r="AB39" s="247"/>
      <c r="AC39" s="247"/>
      <c r="AD39" s="247"/>
    </row>
    <row r="40" spans="1:30" x14ac:dyDescent="0.15">
      <c r="A40" s="241" t="str">
        <f t="shared" si="1"/>
        <v/>
      </c>
      <c r="B40" s="246" t="str">
        <f t="shared" si="4"/>
        <v/>
      </c>
      <c r="C40" s="252" t="str">
        <f t="shared" si="0"/>
        <v/>
      </c>
      <c r="D40" s="243" t="str">
        <f t="shared" si="2"/>
        <v/>
      </c>
      <c r="E40" s="244" t="str">
        <f t="shared" si="3"/>
        <v/>
      </c>
      <c r="F40" s="249"/>
      <c r="G40" s="249"/>
      <c r="H40" s="249"/>
      <c r="I40" s="230">
        <v>36</v>
      </c>
      <c r="J40" s="230" t="str">
        <f>_xlfn.XLOOKUP(I40,'Order Page'!W$24:W$393,'Order Page'!C$24:C$393,"")</f>
        <v/>
      </c>
      <c r="K40" s="230" t="str">
        <f>_xlfn.XLOOKUP(I40,'Order Page'!W$24:W$393,'Order Page'!U$24:U$393,"")</f>
        <v/>
      </c>
      <c r="L40" s="230" t="str">
        <f>_xlfn.XLOOKUP(I40,'Order Page'!W$24:W$393,'Order Page'!S$24:S$393,"")</f>
        <v/>
      </c>
      <c r="M40" s="230" t="str">
        <f>_xlfn.XLOOKUP(I40,'Order Page'!W$24:W$393,'Order Page'!B$24:B$393,"")</f>
        <v/>
      </c>
      <c r="N40" s="230" t="str">
        <f>_xlfn.XLOOKUP(I40,'Order Page'!W$24:W$393,'Order Page'!F$24:F$393,"")</f>
        <v/>
      </c>
      <c r="O40" s="249"/>
      <c r="P40" s="249"/>
      <c r="Q40" s="249"/>
      <c r="AA40" s="247"/>
      <c r="AB40" s="247"/>
      <c r="AC40" s="247"/>
      <c r="AD40" s="247"/>
    </row>
    <row r="41" spans="1:30" x14ac:dyDescent="0.15">
      <c r="A41" s="241" t="str">
        <f t="shared" si="1"/>
        <v/>
      </c>
      <c r="B41" s="246" t="str">
        <f t="shared" si="4"/>
        <v/>
      </c>
      <c r="C41" s="252" t="str">
        <f t="shared" si="0"/>
        <v/>
      </c>
      <c r="D41" s="243" t="str">
        <f t="shared" si="2"/>
        <v/>
      </c>
      <c r="E41" s="244" t="str">
        <f t="shared" si="3"/>
        <v/>
      </c>
      <c r="F41" s="249"/>
      <c r="G41" s="249"/>
      <c r="H41" s="249"/>
      <c r="I41" s="230">
        <v>37</v>
      </c>
      <c r="J41" s="230" t="str">
        <f>_xlfn.XLOOKUP(I41,'Order Page'!W$24:W$393,'Order Page'!C$24:C$393,"")</f>
        <v/>
      </c>
      <c r="K41" s="230" t="str">
        <f>_xlfn.XLOOKUP(I41,'Order Page'!W$24:W$393,'Order Page'!U$24:U$393,"")</f>
        <v/>
      </c>
      <c r="L41" s="230" t="str">
        <f>_xlfn.XLOOKUP(I41,'Order Page'!W$24:W$393,'Order Page'!S$24:S$393,"")</f>
        <v/>
      </c>
      <c r="M41" s="230" t="str">
        <f>_xlfn.XLOOKUP(I41,'Order Page'!W$24:W$393,'Order Page'!B$24:B$393,"")</f>
        <v/>
      </c>
      <c r="N41" s="230" t="str">
        <f>_xlfn.XLOOKUP(I41,'Order Page'!W$24:W$393,'Order Page'!F$24:F$393,"")</f>
        <v/>
      </c>
      <c r="O41" s="249"/>
      <c r="P41" s="249"/>
      <c r="Q41" s="249"/>
      <c r="AA41" s="247"/>
      <c r="AB41" s="247"/>
      <c r="AC41" s="247"/>
      <c r="AD41" s="247"/>
    </row>
    <row r="42" spans="1:30" x14ac:dyDescent="0.15">
      <c r="A42" s="241" t="str">
        <f t="shared" si="1"/>
        <v/>
      </c>
      <c r="B42" s="246" t="str">
        <f t="shared" si="4"/>
        <v/>
      </c>
      <c r="C42" s="252" t="str">
        <f t="shared" si="0"/>
        <v/>
      </c>
      <c r="D42" s="243" t="str">
        <f t="shared" si="2"/>
        <v/>
      </c>
      <c r="E42" s="244" t="str">
        <f t="shared" si="3"/>
        <v/>
      </c>
      <c r="F42" s="249"/>
      <c r="G42" s="249"/>
      <c r="H42" s="249"/>
      <c r="I42" s="230">
        <v>38</v>
      </c>
      <c r="J42" s="230" t="str">
        <f>_xlfn.XLOOKUP(I42,'Order Page'!W$24:W$393,'Order Page'!C$24:C$393,"")</f>
        <v/>
      </c>
      <c r="K42" s="230" t="str">
        <f>_xlfn.XLOOKUP(I42,'Order Page'!W$24:W$393,'Order Page'!U$24:U$393,"")</f>
        <v/>
      </c>
      <c r="L42" s="230" t="str">
        <f>_xlfn.XLOOKUP(I42,'Order Page'!W$24:W$393,'Order Page'!S$24:S$393,"")</f>
        <v/>
      </c>
      <c r="M42" s="230" t="str">
        <f>_xlfn.XLOOKUP(I42,'Order Page'!W$24:W$393,'Order Page'!B$24:B$393,"")</f>
        <v/>
      </c>
      <c r="N42" s="230" t="str">
        <f>_xlfn.XLOOKUP(I42,'Order Page'!W$24:W$393,'Order Page'!F$24:F$393,"")</f>
        <v/>
      </c>
      <c r="O42" s="249"/>
      <c r="P42" s="249"/>
      <c r="Q42" s="249"/>
      <c r="AA42" s="247"/>
      <c r="AB42" s="247"/>
      <c r="AC42" s="247"/>
      <c r="AD42" s="247"/>
    </row>
    <row r="43" spans="1:30" x14ac:dyDescent="0.15">
      <c r="A43" s="241" t="str">
        <f t="shared" si="1"/>
        <v/>
      </c>
      <c r="B43" s="246" t="str">
        <f t="shared" si="4"/>
        <v/>
      </c>
      <c r="C43" s="252" t="str">
        <f t="shared" si="0"/>
        <v/>
      </c>
      <c r="D43" s="243" t="str">
        <f t="shared" si="2"/>
        <v/>
      </c>
      <c r="E43" s="244" t="str">
        <f t="shared" si="3"/>
        <v/>
      </c>
      <c r="F43" s="249"/>
      <c r="G43" s="249"/>
      <c r="H43" s="249"/>
      <c r="I43" s="230">
        <v>39</v>
      </c>
      <c r="J43" s="230" t="str">
        <f>_xlfn.XLOOKUP(I43,'Order Page'!W$24:W$393,'Order Page'!C$24:C$393,"")</f>
        <v/>
      </c>
      <c r="K43" s="230" t="str">
        <f>_xlfn.XLOOKUP(I43,'Order Page'!W$24:W$393,'Order Page'!U$24:U$393,"")</f>
        <v/>
      </c>
      <c r="L43" s="230" t="str">
        <f>_xlfn.XLOOKUP(I43,'Order Page'!W$24:W$393,'Order Page'!S$24:S$393,"")</f>
        <v/>
      </c>
      <c r="M43" s="230" t="str">
        <f>_xlfn.XLOOKUP(I43,'Order Page'!W$24:W$393,'Order Page'!B$24:B$393,"")</f>
        <v/>
      </c>
      <c r="N43" s="230" t="str">
        <f>_xlfn.XLOOKUP(I43,'Order Page'!W$24:W$393,'Order Page'!F$24:F$393,"")</f>
        <v/>
      </c>
      <c r="O43" s="249"/>
      <c r="P43" s="249"/>
      <c r="Q43" s="249"/>
      <c r="AA43" s="247"/>
      <c r="AB43" s="247"/>
      <c r="AC43" s="247"/>
      <c r="AD43" s="247"/>
    </row>
    <row r="44" spans="1:30" x14ac:dyDescent="0.15">
      <c r="A44" s="241" t="str">
        <f t="shared" si="1"/>
        <v/>
      </c>
      <c r="B44" s="246" t="str">
        <f>IF(J44=J43,"",J44)</f>
        <v/>
      </c>
      <c r="C44" s="252" t="str">
        <f t="shared" si="0"/>
        <v/>
      </c>
      <c r="D44" s="243" t="str">
        <f>IF(J44=J43,"",K44)</f>
        <v/>
      </c>
      <c r="E44" s="244" t="str">
        <f>IF(J44=J43,"",M44)</f>
        <v/>
      </c>
      <c r="F44" s="249"/>
      <c r="G44" s="249"/>
      <c r="H44" s="249"/>
      <c r="I44" s="230">
        <v>40</v>
      </c>
      <c r="J44" s="230" t="str">
        <f>_xlfn.XLOOKUP(I44,'Order Page'!W$24:W$393,'Order Page'!C$24:C$393,"")</f>
        <v/>
      </c>
      <c r="K44" s="230" t="str">
        <f>_xlfn.XLOOKUP(I44,'Order Page'!W$24:W$393,'Order Page'!U$24:U$393,"")</f>
        <v/>
      </c>
      <c r="L44" s="230" t="str">
        <f>_xlfn.XLOOKUP(I44,'Order Page'!W$24:W$393,'Order Page'!S$24:S$393,"")</f>
        <v/>
      </c>
      <c r="M44" s="230" t="str">
        <f>_xlfn.XLOOKUP(I44,'Order Page'!W$24:W$393,'Order Page'!B$24:B$393,"")</f>
        <v/>
      </c>
      <c r="N44" s="230" t="str">
        <f>_xlfn.XLOOKUP(I44,'Order Page'!W$24:W$393,'Order Page'!F$24:F$393,"")</f>
        <v/>
      </c>
      <c r="O44" s="249"/>
      <c r="P44" s="249"/>
      <c r="Q44" s="249"/>
    </row>
    <row r="45" spans="1:30" x14ac:dyDescent="0.15">
      <c r="A45" s="241" t="str">
        <f t="shared" si="1"/>
        <v/>
      </c>
      <c r="B45" s="246" t="str">
        <f>IF(J45=J44,"",J45)</f>
        <v/>
      </c>
      <c r="C45" s="252" t="str">
        <f t="shared" si="0"/>
        <v/>
      </c>
      <c r="D45" s="243" t="str">
        <f>IF(J45=J44,"",K45)</f>
        <v/>
      </c>
      <c r="E45" s="244" t="str">
        <f>IF(J45=J44,"",M45)</f>
        <v/>
      </c>
      <c r="F45" s="249"/>
      <c r="G45" s="249"/>
      <c r="H45" s="249"/>
      <c r="I45" s="230">
        <v>41</v>
      </c>
      <c r="J45" s="230" t="str">
        <f>_xlfn.XLOOKUP(I45,'Order Page'!W$24:W$393,'Order Page'!C$24:C$393,"")</f>
        <v/>
      </c>
      <c r="K45" s="230" t="str">
        <f>_xlfn.XLOOKUP(I45,'Order Page'!W$24:W$393,'Order Page'!U$24:U$393,"")</f>
        <v/>
      </c>
      <c r="L45" s="230" t="str">
        <f>_xlfn.XLOOKUP(I45,'Order Page'!W$24:W$393,'Order Page'!S$24:S$393,"")</f>
        <v/>
      </c>
      <c r="M45" s="230" t="str">
        <f>_xlfn.XLOOKUP(I45,'Order Page'!W$24:W$393,'Order Page'!B$24:B$393,"")</f>
        <v/>
      </c>
      <c r="N45" s="230" t="str">
        <f>_xlfn.XLOOKUP(I45,'Order Page'!W$24:W$393,'Order Page'!F$24:F$393,"")</f>
        <v/>
      </c>
      <c r="O45" s="249"/>
      <c r="P45" s="249"/>
      <c r="Q45" s="249"/>
    </row>
    <row r="46" spans="1:30" x14ac:dyDescent="0.15">
      <c r="A46" s="241" t="str">
        <f t="shared" si="1"/>
        <v/>
      </c>
      <c r="B46" s="246" t="str">
        <f t="shared" si="4"/>
        <v/>
      </c>
      <c r="C46" s="252" t="str">
        <f t="shared" si="0"/>
        <v/>
      </c>
      <c r="D46" s="243" t="str">
        <f t="shared" si="2"/>
        <v/>
      </c>
      <c r="E46" s="244" t="str">
        <f>IF(J46=J45,"",M46)</f>
        <v/>
      </c>
      <c r="F46" s="249"/>
      <c r="G46" s="249"/>
      <c r="H46" s="249"/>
      <c r="I46" s="230">
        <v>42</v>
      </c>
      <c r="J46" s="230" t="str">
        <f>_xlfn.XLOOKUP(I46,'Order Page'!W$24:W$393,'Order Page'!C$24:C$393,"")</f>
        <v/>
      </c>
      <c r="K46" s="230" t="str">
        <f>_xlfn.XLOOKUP(I46,'Order Page'!W$24:W$393,'Order Page'!U$24:U$393,"")</f>
        <v/>
      </c>
      <c r="L46" s="230" t="str">
        <f>_xlfn.XLOOKUP(I46,'Order Page'!W$24:W$393,'Order Page'!S$24:S$393,"")</f>
        <v/>
      </c>
      <c r="M46" s="230" t="str">
        <f>_xlfn.XLOOKUP(I46,'Order Page'!W$24:W$393,'Order Page'!B$24:B$393,"")</f>
        <v/>
      </c>
      <c r="N46" s="230" t="str">
        <f>_xlfn.XLOOKUP(I46,'Order Page'!W$24:W$393,'Order Page'!F$24:F$393,"")</f>
        <v/>
      </c>
      <c r="O46" s="249"/>
      <c r="P46" s="249"/>
      <c r="Q46" s="249"/>
    </row>
    <row r="47" spans="1:30" x14ac:dyDescent="0.15">
      <c r="A47" s="241" t="str">
        <f t="shared" si="1"/>
        <v/>
      </c>
      <c r="B47" s="246" t="str">
        <f t="shared" si="4"/>
        <v/>
      </c>
      <c r="C47" s="252" t="str">
        <f t="shared" si="0"/>
        <v/>
      </c>
      <c r="D47" s="243" t="str">
        <f t="shared" si="2"/>
        <v/>
      </c>
      <c r="E47" s="244" t="str">
        <f t="shared" si="3"/>
        <v/>
      </c>
      <c r="F47" s="249"/>
      <c r="G47" s="249"/>
      <c r="H47" s="249"/>
      <c r="I47" s="230">
        <v>43</v>
      </c>
      <c r="J47" s="230" t="str">
        <f>_xlfn.XLOOKUP(I47,'Order Page'!W$24:W$393,'Order Page'!C$24:C$393,"")</f>
        <v/>
      </c>
      <c r="K47" s="230" t="str">
        <f>_xlfn.XLOOKUP(I47,'Order Page'!W$24:W$393,'Order Page'!U$24:U$393,"")</f>
        <v/>
      </c>
      <c r="L47" s="230" t="str">
        <f>_xlfn.XLOOKUP(I47,'Order Page'!W$24:W$393,'Order Page'!S$24:S$393,"")</f>
        <v/>
      </c>
      <c r="M47" s="230" t="str">
        <f>_xlfn.XLOOKUP(I47,'Order Page'!W$24:W$393,'Order Page'!B$24:B$393,"")</f>
        <v/>
      </c>
      <c r="N47" s="230" t="str">
        <f>_xlfn.XLOOKUP(I47,'Order Page'!W$24:W$393,'Order Page'!F$24:F$393,"")</f>
        <v/>
      </c>
      <c r="O47" s="249"/>
      <c r="P47" s="249"/>
      <c r="Q47" s="249"/>
    </row>
    <row r="48" spans="1:30" x14ac:dyDescent="0.15">
      <c r="A48" s="241" t="str">
        <f t="shared" si="1"/>
        <v/>
      </c>
      <c r="B48" s="246" t="str">
        <f t="shared" si="4"/>
        <v/>
      </c>
      <c r="C48" s="252" t="str">
        <f t="shared" si="0"/>
        <v/>
      </c>
      <c r="D48" s="243" t="str">
        <f t="shared" si="2"/>
        <v/>
      </c>
      <c r="E48" s="244" t="str">
        <f t="shared" si="3"/>
        <v/>
      </c>
      <c r="F48" s="249"/>
      <c r="G48" s="249"/>
      <c r="H48" s="249"/>
      <c r="I48" s="230">
        <v>44</v>
      </c>
      <c r="J48" s="230" t="str">
        <f>_xlfn.XLOOKUP(I48,'Order Page'!W$24:W$393,'Order Page'!C$24:C$393,"")</f>
        <v/>
      </c>
      <c r="K48" s="230" t="str">
        <f>_xlfn.XLOOKUP(I48,'Order Page'!W$24:W$393,'Order Page'!U$24:U$393,"")</f>
        <v/>
      </c>
      <c r="L48" s="230" t="str">
        <f>_xlfn.XLOOKUP(I48,'Order Page'!W$24:W$393,'Order Page'!S$24:S$393,"")</f>
        <v/>
      </c>
      <c r="M48" s="230" t="str">
        <f>_xlfn.XLOOKUP(I48,'Order Page'!W$24:W$393,'Order Page'!B$24:B$393,"")</f>
        <v/>
      </c>
      <c r="N48" s="230" t="str">
        <f>_xlfn.XLOOKUP(I48,'Order Page'!W$24:W$393,'Order Page'!F$24:F$393,"")</f>
        <v/>
      </c>
      <c r="O48" s="249"/>
      <c r="P48" s="249"/>
      <c r="Q48" s="249"/>
    </row>
    <row r="49" spans="1:17" x14ac:dyDescent="0.15">
      <c r="A49" s="241" t="str">
        <f t="shared" si="1"/>
        <v/>
      </c>
      <c r="B49" s="246" t="str">
        <f t="shared" si="4"/>
        <v/>
      </c>
      <c r="C49" s="252" t="str">
        <f t="shared" si="0"/>
        <v/>
      </c>
      <c r="D49" s="243" t="str">
        <f t="shared" si="2"/>
        <v/>
      </c>
      <c r="E49" s="244" t="str">
        <f t="shared" si="3"/>
        <v/>
      </c>
      <c r="F49" s="249"/>
      <c r="G49" s="249"/>
      <c r="H49" s="249"/>
      <c r="I49" s="230">
        <v>45</v>
      </c>
      <c r="J49" s="230" t="str">
        <f>_xlfn.XLOOKUP(I49,'Order Page'!W$24:W$393,'Order Page'!C$24:C$393,"")</f>
        <v/>
      </c>
      <c r="K49" s="230" t="str">
        <f>_xlfn.XLOOKUP(I49,'Order Page'!W$24:W$393,'Order Page'!U$24:U$393,"")</f>
        <v/>
      </c>
      <c r="L49" s="230" t="str">
        <f>_xlfn.XLOOKUP(I49,'Order Page'!W$24:W$393,'Order Page'!S$24:S$393,"")</f>
        <v/>
      </c>
      <c r="M49" s="230" t="str">
        <f>_xlfn.XLOOKUP(I49,'Order Page'!W$24:W$393,'Order Page'!B$24:B$393,"")</f>
        <v/>
      </c>
      <c r="N49" s="230" t="str">
        <f>_xlfn.XLOOKUP(I49,'Order Page'!W$24:W$393,'Order Page'!F$24:F$393,"")</f>
        <v/>
      </c>
      <c r="O49" s="249"/>
      <c r="P49" s="249"/>
      <c r="Q49" s="249"/>
    </row>
    <row r="50" spans="1:17" x14ac:dyDescent="0.15">
      <c r="A50" s="241" t="str">
        <f t="shared" si="1"/>
        <v/>
      </c>
      <c r="B50" s="246" t="str">
        <f t="shared" si="4"/>
        <v/>
      </c>
      <c r="C50" s="252" t="str">
        <f t="shared" si="0"/>
        <v/>
      </c>
      <c r="D50" s="243" t="str">
        <f t="shared" si="2"/>
        <v/>
      </c>
      <c r="E50" s="244" t="str">
        <f t="shared" si="3"/>
        <v/>
      </c>
      <c r="F50" s="249"/>
      <c r="G50" s="249"/>
      <c r="H50" s="249"/>
      <c r="I50" s="230">
        <v>46</v>
      </c>
      <c r="J50" s="230" t="str">
        <f>_xlfn.XLOOKUP(I50,'Order Page'!W$24:W$393,'Order Page'!C$24:C$393,"")</f>
        <v/>
      </c>
      <c r="K50" s="230" t="str">
        <f>_xlfn.XLOOKUP(I50,'Order Page'!W$24:W$393,'Order Page'!U$24:U$393,"")</f>
        <v/>
      </c>
      <c r="L50" s="230" t="str">
        <f>_xlfn.XLOOKUP(I50,'Order Page'!W$24:W$393,'Order Page'!S$24:S$393,"")</f>
        <v/>
      </c>
      <c r="M50" s="230" t="str">
        <f>_xlfn.XLOOKUP(I50,'Order Page'!W$24:W$393,'Order Page'!B$24:B$393,"")</f>
        <v/>
      </c>
      <c r="N50" s="230" t="str">
        <f>_xlfn.XLOOKUP(I50,'Order Page'!W$24:W$393,'Order Page'!F$24:F$393,"")</f>
        <v/>
      </c>
      <c r="O50" s="249"/>
      <c r="P50" s="249"/>
      <c r="Q50" s="249"/>
    </row>
    <row r="51" spans="1:17" x14ac:dyDescent="0.15">
      <c r="A51" s="241" t="str">
        <f t="shared" si="1"/>
        <v/>
      </c>
      <c r="B51" s="246" t="str">
        <f t="shared" si="4"/>
        <v/>
      </c>
      <c r="C51" s="252" t="str">
        <f t="shared" si="0"/>
        <v/>
      </c>
      <c r="D51" s="243" t="str">
        <f t="shared" si="2"/>
        <v/>
      </c>
      <c r="E51" s="244" t="str">
        <f t="shared" si="3"/>
        <v/>
      </c>
      <c r="F51" s="249"/>
      <c r="G51" s="249"/>
      <c r="H51" s="249"/>
      <c r="I51" s="230">
        <v>47</v>
      </c>
      <c r="J51" s="230" t="str">
        <f>_xlfn.XLOOKUP(I51,'Order Page'!W$24:W$393,'Order Page'!C$24:C$393,"")</f>
        <v/>
      </c>
      <c r="K51" s="230" t="str">
        <f>_xlfn.XLOOKUP(I51,'Order Page'!W$24:W$393,'Order Page'!U$24:U$393,"")</f>
        <v/>
      </c>
      <c r="L51" s="230" t="str">
        <f>_xlfn.XLOOKUP(I51,'Order Page'!W$24:W$393,'Order Page'!S$24:S$393,"")</f>
        <v/>
      </c>
      <c r="M51" s="230" t="str">
        <f>_xlfn.XLOOKUP(I51,'Order Page'!W$24:W$393,'Order Page'!B$24:B$393,"")</f>
        <v/>
      </c>
      <c r="N51" s="230" t="str">
        <f>_xlfn.XLOOKUP(I51,'Order Page'!W$24:W$393,'Order Page'!F$24:F$393,"")</f>
        <v/>
      </c>
      <c r="O51" s="249"/>
      <c r="P51" s="249"/>
      <c r="Q51" s="249"/>
    </row>
    <row r="52" spans="1:17" x14ac:dyDescent="0.15">
      <c r="A52" s="241" t="str">
        <f t="shared" si="1"/>
        <v/>
      </c>
      <c r="B52" s="246" t="str">
        <f t="shared" si="4"/>
        <v/>
      </c>
      <c r="C52" s="252" t="str">
        <f t="shared" si="0"/>
        <v/>
      </c>
      <c r="D52" s="243" t="str">
        <f t="shared" si="2"/>
        <v/>
      </c>
      <c r="E52" s="244" t="str">
        <f t="shared" si="3"/>
        <v/>
      </c>
      <c r="F52" s="249"/>
      <c r="G52" s="249"/>
      <c r="H52" s="249"/>
      <c r="I52" s="230">
        <v>48</v>
      </c>
      <c r="J52" s="230" t="str">
        <f>_xlfn.XLOOKUP(I52,'Order Page'!W$24:W$393,'Order Page'!C$24:C$393,"")</f>
        <v/>
      </c>
      <c r="K52" s="230" t="str">
        <f>_xlfn.XLOOKUP(I52,'Order Page'!W$24:W$393,'Order Page'!U$24:U$393,"")</f>
        <v/>
      </c>
      <c r="L52" s="230" t="str">
        <f>_xlfn.XLOOKUP(I52,'Order Page'!W$24:W$393,'Order Page'!S$24:S$393,"")</f>
        <v/>
      </c>
      <c r="M52" s="230" t="str">
        <f>_xlfn.XLOOKUP(I52,'Order Page'!W$24:W$393,'Order Page'!B$24:B$393,"")</f>
        <v/>
      </c>
      <c r="N52" s="230" t="str">
        <f>_xlfn.XLOOKUP(I52,'Order Page'!W$24:W$393,'Order Page'!F$24:F$393,"")</f>
        <v/>
      </c>
      <c r="O52" s="249"/>
      <c r="P52" s="249"/>
      <c r="Q52" s="249"/>
    </row>
    <row r="53" spans="1:17" x14ac:dyDescent="0.15">
      <c r="A53" s="241" t="str">
        <f t="shared" si="1"/>
        <v/>
      </c>
      <c r="B53" s="246" t="str">
        <f t="shared" si="4"/>
        <v/>
      </c>
      <c r="C53" s="252" t="str">
        <f t="shared" si="0"/>
        <v/>
      </c>
      <c r="D53" s="243" t="str">
        <f t="shared" si="2"/>
        <v/>
      </c>
      <c r="E53" s="244" t="str">
        <f t="shared" si="3"/>
        <v/>
      </c>
      <c r="F53" s="249"/>
      <c r="G53" s="249"/>
      <c r="H53" s="249"/>
      <c r="I53" s="230">
        <v>49</v>
      </c>
      <c r="J53" s="230" t="str">
        <f>_xlfn.XLOOKUP(I53,'Order Page'!W$24:W$393,'Order Page'!C$24:C$393,"")</f>
        <v/>
      </c>
      <c r="K53" s="230" t="str">
        <f>_xlfn.XLOOKUP(I53,'Order Page'!W$24:W$393,'Order Page'!U$24:U$393,"")</f>
        <v/>
      </c>
      <c r="L53" s="230" t="str">
        <f>_xlfn.XLOOKUP(I53,'Order Page'!W$24:W$393,'Order Page'!S$24:S$393,"")</f>
        <v/>
      </c>
      <c r="M53" s="230" t="str">
        <f>_xlfn.XLOOKUP(I53,'Order Page'!W$24:W$393,'Order Page'!B$24:B$393,"")</f>
        <v/>
      </c>
      <c r="N53" s="230" t="str">
        <f>_xlfn.XLOOKUP(I53,'Order Page'!W$24:W$393,'Order Page'!F$24:F$393,"")</f>
        <v/>
      </c>
      <c r="O53" s="249"/>
      <c r="P53" s="249"/>
      <c r="Q53" s="249"/>
    </row>
    <row r="54" spans="1:17" x14ac:dyDescent="0.15">
      <c r="A54" s="241" t="str">
        <f t="shared" si="1"/>
        <v/>
      </c>
      <c r="B54" s="246" t="str">
        <f t="shared" si="4"/>
        <v/>
      </c>
      <c r="C54" s="252" t="str">
        <f t="shared" si="0"/>
        <v/>
      </c>
      <c r="D54" s="243" t="str">
        <f t="shared" si="2"/>
        <v/>
      </c>
      <c r="E54" s="244" t="str">
        <f t="shared" si="3"/>
        <v/>
      </c>
      <c r="F54" s="249"/>
      <c r="G54" s="249"/>
      <c r="H54" s="249"/>
      <c r="I54" s="230">
        <v>50</v>
      </c>
      <c r="J54" s="230" t="str">
        <f>_xlfn.XLOOKUP(I54,'Order Page'!W$24:W$393,'Order Page'!C$24:C$393,"")</f>
        <v/>
      </c>
      <c r="K54" s="230" t="str">
        <f>_xlfn.XLOOKUP(I54,'Order Page'!W$24:W$393,'Order Page'!U$24:U$393,"")</f>
        <v/>
      </c>
      <c r="L54" s="230" t="str">
        <f>_xlfn.XLOOKUP(I54,'Order Page'!W$24:W$393,'Order Page'!S$24:S$393,"")</f>
        <v/>
      </c>
      <c r="M54" s="230" t="str">
        <f>_xlfn.XLOOKUP(I54,'Order Page'!W$24:W$393,'Order Page'!B$24:B$393,"")</f>
        <v/>
      </c>
      <c r="N54" s="230" t="str">
        <f>_xlfn.XLOOKUP(I54,'Order Page'!W$24:W$393,'Order Page'!F$24:F$393,"")</f>
        <v/>
      </c>
      <c r="O54" s="249"/>
      <c r="P54" s="249"/>
      <c r="Q54" s="249"/>
    </row>
    <row r="55" spans="1:17" x14ac:dyDescent="0.15">
      <c r="A55" s="241" t="str">
        <f t="shared" si="1"/>
        <v/>
      </c>
      <c r="B55" s="246" t="str">
        <f t="shared" si="4"/>
        <v/>
      </c>
      <c r="C55" s="252" t="str">
        <f t="shared" si="0"/>
        <v/>
      </c>
      <c r="D55" s="243" t="str">
        <f>IF(J55=J54,"",K55)</f>
        <v/>
      </c>
      <c r="E55" s="244" t="str">
        <f t="shared" si="3"/>
        <v/>
      </c>
      <c r="F55" s="249"/>
      <c r="G55" s="249"/>
      <c r="H55" s="249"/>
      <c r="I55" s="230">
        <v>51</v>
      </c>
      <c r="J55" s="230" t="str">
        <f>_xlfn.XLOOKUP(I55,'Order Page'!W$24:W$393,'Order Page'!C$24:C$393,"")</f>
        <v/>
      </c>
      <c r="K55" s="230" t="str">
        <f>_xlfn.XLOOKUP(I55,'Order Page'!W$24:W$393,'Order Page'!U$24:U$393,"")</f>
        <v/>
      </c>
      <c r="L55" s="230" t="str">
        <f>_xlfn.XLOOKUP(I55,'Order Page'!W$24:W$393,'Order Page'!S$24:S$393,"")</f>
        <v/>
      </c>
      <c r="M55" s="230" t="str">
        <f>_xlfn.XLOOKUP(I55,'Order Page'!W$24:W$393,'Order Page'!B$24:B$393,"")</f>
        <v/>
      </c>
      <c r="N55" s="230" t="str">
        <f>_xlfn.XLOOKUP(I55,'Order Page'!W$24:W$393,'Order Page'!F$24:F$393,"")</f>
        <v/>
      </c>
      <c r="O55" s="249"/>
      <c r="P55" s="249"/>
      <c r="Q55" s="249"/>
    </row>
    <row r="56" spans="1:17" x14ac:dyDescent="0.15">
      <c r="A56" s="241" t="str">
        <f t="shared" si="1"/>
        <v/>
      </c>
      <c r="B56" s="246" t="str">
        <f t="shared" si="4"/>
        <v/>
      </c>
      <c r="C56" s="252" t="str">
        <f t="shared" si="0"/>
        <v/>
      </c>
      <c r="D56" s="243" t="str">
        <f t="shared" si="2"/>
        <v/>
      </c>
      <c r="E56" s="244" t="str">
        <f t="shared" si="3"/>
        <v/>
      </c>
      <c r="F56" s="249"/>
      <c r="G56" s="249"/>
      <c r="H56" s="249"/>
      <c r="I56" s="230">
        <v>52</v>
      </c>
      <c r="J56" s="230" t="str">
        <f>_xlfn.XLOOKUP(I56,'Order Page'!W$24:W$393,'Order Page'!C$24:C$393,"")</f>
        <v/>
      </c>
      <c r="K56" s="230" t="str">
        <f>_xlfn.XLOOKUP(I56,'Order Page'!W$24:W$393,'Order Page'!U$24:U$393,"")</f>
        <v/>
      </c>
      <c r="L56" s="230" t="str">
        <f>_xlfn.XLOOKUP(I56,'Order Page'!W$24:W$393,'Order Page'!S$24:S$393,"")</f>
        <v/>
      </c>
      <c r="M56" s="230" t="str">
        <f>_xlfn.XLOOKUP(I56,'Order Page'!W$24:W$393,'Order Page'!B$24:B$393,"")</f>
        <v/>
      </c>
      <c r="N56" s="230" t="str">
        <f>_xlfn.XLOOKUP(I56,'Order Page'!W$24:W$393,'Order Page'!F$24:F$393,"")</f>
        <v/>
      </c>
      <c r="O56" s="249"/>
      <c r="P56" s="249"/>
      <c r="Q56" s="249"/>
    </row>
    <row r="57" spans="1:17" x14ac:dyDescent="0.15">
      <c r="A57" s="241" t="str">
        <f t="shared" si="1"/>
        <v/>
      </c>
      <c r="B57" s="246" t="str">
        <f t="shared" si="4"/>
        <v/>
      </c>
      <c r="C57" s="252" t="str">
        <f t="shared" si="0"/>
        <v/>
      </c>
      <c r="D57" s="243" t="str">
        <f t="shared" si="2"/>
        <v/>
      </c>
      <c r="E57" s="244" t="str">
        <f t="shared" si="3"/>
        <v/>
      </c>
      <c r="F57" s="249"/>
      <c r="G57" s="249"/>
      <c r="H57" s="249"/>
      <c r="I57" s="230">
        <v>53</v>
      </c>
      <c r="J57" s="230" t="str">
        <f>_xlfn.XLOOKUP(I57,'Order Page'!W$24:W$393,'Order Page'!C$24:C$393,"")</f>
        <v/>
      </c>
      <c r="K57" s="230" t="str">
        <f>_xlfn.XLOOKUP(I57,'Order Page'!W$24:W$393,'Order Page'!U$24:U$393,"")</f>
        <v/>
      </c>
      <c r="L57" s="230" t="str">
        <f>_xlfn.XLOOKUP(I57,'Order Page'!W$24:W$393,'Order Page'!S$24:S$393,"")</f>
        <v/>
      </c>
      <c r="M57" s="230" t="str">
        <f>_xlfn.XLOOKUP(I57,'Order Page'!W$24:W$393,'Order Page'!B$24:B$393,"")</f>
        <v/>
      </c>
      <c r="N57" s="230" t="str">
        <f>_xlfn.XLOOKUP(I57,'Order Page'!W$24:W$393,'Order Page'!F$24:F$393,"")</f>
        <v/>
      </c>
      <c r="O57" s="249"/>
      <c r="P57" s="249"/>
      <c r="Q57" s="249"/>
    </row>
    <row r="58" spans="1:17" x14ac:dyDescent="0.15">
      <c r="A58" s="241" t="str">
        <f>IF(L58=0,"",IF(L58=L57,"",L58))</f>
        <v/>
      </c>
      <c r="B58" s="246" t="str">
        <f t="shared" si="4"/>
        <v/>
      </c>
      <c r="C58" s="252" t="str">
        <f t="shared" si="0"/>
        <v/>
      </c>
      <c r="D58" s="243" t="str">
        <f t="shared" si="2"/>
        <v/>
      </c>
      <c r="E58" s="244" t="str">
        <f t="shared" si="3"/>
        <v/>
      </c>
      <c r="F58" s="249"/>
      <c r="G58" s="249"/>
      <c r="H58" s="249"/>
      <c r="I58" s="230">
        <v>54</v>
      </c>
      <c r="J58" s="230" t="str">
        <f>_xlfn.XLOOKUP(I58,'Order Page'!W$24:W$393,'Order Page'!C$24:C$393,"")</f>
        <v/>
      </c>
      <c r="K58" s="230" t="str">
        <f>_xlfn.XLOOKUP(I58,'Order Page'!W$24:W$393,'Order Page'!U$24:U$393,"")</f>
        <v/>
      </c>
      <c r="L58" s="230" t="str">
        <f>_xlfn.XLOOKUP(I58,'Order Page'!W$24:W$393,'Order Page'!S$24:S$393,"")</f>
        <v/>
      </c>
      <c r="M58" s="230" t="str">
        <f>_xlfn.XLOOKUP(I58,'Order Page'!W$24:W$393,'Order Page'!B$24:B$393,"")</f>
        <v/>
      </c>
      <c r="N58" s="230" t="str">
        <f>_xlfn.XLOOKUP(I58,'Order Page'!W$24:W$393,'Order Page'!F$24:F$393,"")</f>
        <v/>
      </c>
      <c r="O58" s="249"/>
      <c r="P58" s="249"/>
      <c r="Q58" s="249"/>
    </row>
    <row r="59" spans="1:17" x14ac:dyDescent="0.15">
      <c r="A59" s="241" t="str">
        <f t="shared" si="1"/>
        <v/>
      </c>
      <c r="B59" s="246" t="str">
        <f t="shared" si="4"/>
        <v/>
      </c>
      <c r="C59" s="252" t="str">
        <f t="shared" si="0"/>
        <v/>
      </c>
      <c r="D59" s="243" t="str">
        <f t="shared" si="2"/>
        <v/>
      </c>
      <c r="E59" s="244" t="str">
        <f t="shared" si="3"/>
        <v/>
      </c>
      <c r="F59" s="249"/>
      <c r="G59" s="249"/>
      <c r="H59" s="249"/>
      <c r="I59" s="230">
        <v>55</v>
      </c>
      <c r="J59" s="230" t="str">
        <f>_xlfn.XLOOKUP(I59,'Order Page'!W$24:W$393,'Order Page'!C$24:C$393,"")</f>
        <v/>
      </c>
      <c r="K59" s="230" t="str">
        <f>_xlfn.XLOOKUP(I59,'Order Page'!W$24:W$393,'Order Page'!U$24:U$393,"")</f>
        <v/>
      </c>
      <c r="L59" s="230" t="str">
        <f>_xlfn.XLOOKUP(I59,'Order Page'!W$24:W$393,'Order Page'!S$24:S$393,"")</f>
        <v/>
      </c>
      <c r="M59" s="230" t="str">
        <f>_xlfn.XLOOKUP(I59,'Order Page'!W$24:W$393,'Order Page'!B$24:B$393,"")</f>
        <v/>
      </c>
      <c r="N59" s="230" t="str">
        <f>_xlfn.XLOOKUP(I59,'Order Page'!W$24:W$393,'Order Page'!F$24:F$393,"")</f>
        <v/>
      </c>
      <c r="O59" s="249"/>
      <c r="P59" s="249"/>
      <c r="Q59" s="249"/>
    </row>
    <row r="60" spans="1:17" x14ac:dyDescent="0.15">
      <c r="A60" s="241" t="str">
        <f t="shared" si="1"/>
        <v/>
      </c>
      <c r="B60" s="246" t="str">
        <f t="shared" si="4"/>
        <v/>
      </c>
      <c r="C60" s="252" t="str">
        <f t="shared" si="0"/>
        <v/>
      </c>
      <c r="D60" s="243" t="str">
        <f t="shared" si="2"/>
        <v/>
      </c>
      <c r="E60" s="244" t="str">
        <f t="shared" si="3"/>
        <v/>
      </c>
      <c r="F60" s="249"/>
      <c r="G60" s="249"/>
      <c r="H60" s="249"/>
      <c r="I60" s="230">
        <v>56</v>
      </c>
      <c r="J60" s="230" t="str">
        <f>_xlfn.XLOOKUP(I60,'Order Page'!W$24:W$393,'Order Page'!C$24:C$393,"")</f>
        <v/>
      </c>
      <c r="K60" s="230" t="str">
        <f>_xlfn.XLOOKUP(I60,'Order Page'!W$24:W$393,'Order Page'!U$24:U$393,"")</f>
        <v/>
      </c>
      <c r="L60" s="230" t="str">
        <f>_xlfn.XLOOKUP(I60,'Order Page'!W$24:W$393,'Order Page'!S$24:S$393,"")</f>
        <v/>
      </c>
      <c r="M60" s="230" t="str">
        <f>_xlfn.XLOOKUP(I60,'Order Page'!W$24:W$393,'Order Page'!B$24:B$393,"")</f>
        <v/>
      </c>
      <c r="N60" s="230" t="str">
        <f>_xlfn.XLOOKUP(I60,'Order Page'!W$24:W$393,'Order Page'!F$24:F$393,"")</f>
        <v/>
      </c>
      <c r="O60" s="249"/>
      <c r="P60" s="249"/>
      <c r="Q60" s="249"/>
    </row>
    <row r="61" spans="1:17" x14ac:dyDescent="0.15">
      <c r="A61" s="241" t="str">
        <f t="shared" si="1"/>
        <v/>
      </c>
      <c r="B61" s="246" t="str">
        <f t="shared" si="4"/>
        <v/>
      </c>
      <c r="C61" s="252" t="str">
        <f t="shared" si="0"/>
        <v/>
      </c>
      <c r="D61" s="243" t="str">
        <f t="shared" si="2"/>
        <v/>
      </c>
      <c r="E61" s="244" t="str">
        <f t="shared" si="3"/>
        <v/>
      </c>
      <c r="F61" s="249"/>
      <c r="G61" s="249"/>
      <c r="H61" s="249"/>
      <c r="I61" s="230">
        <v>57</v>
      </c>
      <c r="J61" s="230" t="str">
        <f>_xlfn.XLOOKUP(I61,'Order Page'!W$24:W$393,'Order Page'!C$24:C$393,"")</f>
        <v/>
      </c>
      <c r="K61" s="230" t="str">
        <f>_xlfn.XLOOKUP(I61,'Order Page'!W$24:W$393,'Order Page'!U$24:U$393,"")</f>
        <v/>
      </c>
      <c r="L61" s="230" t="str">
        <f>_xlfn.XLOOKUP(I61,'Order Page'!W$24:W$393,'Order Page'!S$24:S$393,"")</f>
        <v/>
      </c>
      <c r="M61" s="230" t="str">
        <f>_xlfn.XLOOKUP(I61,'Order Page'!W$24:W$393,'Order Page'!B$24:B$393,"")</f>
        <v/>
      </c>
      <c r="N61" s="230" t="str">
        <f>_xlfn.XLOOKUP(I61,'Order Page'!W$24:W$393,'Order Page'!F$24:F$393,"")</f>
        <v/>
      </c>
      <c r="O61" s="249"/>
      <c r="P61" s="249"/>
      <c r="Q61" s="249"/>
    </row>
    <row r="62" spans="1:17" x14ac:dyDescent="0.15">
      <c r="A62" s="241" t="str">
        <f t="shared" si="1"/>
        <v/>
      </c>
      <c r="B62" s="246" t="str">
        <f t="shared" si="4"/>
        <v/>
      </c>
      <c r="C62" s="252" t="str">
        <f t="shared" si="0"/>
        <v/>
      </c>
      <c r="D62" s="243" t="str">
        <f>IF(J62=J61,"",K62)</f>
        <v/>
      </c>
      <c r="E62" s="244" t="str">
        <f>IF(J62=J61,"",M62)</f>
        <v/>
      </c>
      <c r="F62" s="249"/>
      <c r="G62" s="249"/>
      <c r="H62" s="249"/>
      <c r="I62" s="230">
        <v>58</v>
      </c>
      <c r="J62" s="230" t="str">
        <f>_xlfn.XLOOKUP(I62,'Order Page'!W$24:W$393,'Order Page'!C$24:C$393,"")</f>
        <v/>
      </c>
      <c r="K62" s="230" t="str">
        <f>_xlfn.XLOOKUP(I62,'Order Page'!W$24:W$393,'Order Page'!U$24:U$393,"")</f>
        <v/>
      </c>
      <c r="L62" s="230" t="str">
        <f>_xlfn.XLOOKUP(I62,'Order Page'!W$24:W$393,'Order Page'!S$24:S$393,"")</f>
        <v/>
      </c>
      <c r="M62" s="230" t="str">
        <f>_xlfn.XLOOKUP(I62,'Order Page'!W$24:W$393,'Order Page'!B$24:B$393,"")</f>
        <v/>
      </c>
      <c r="N62" s="230" t="str">
        <f>_xlfn.XLOOKUP(I62,'Order Page'!W$24:W$393,'Order Page'!F$24:F$393,"")</f>
        <v/>
      </c>
      <c r="O62" s="249"/>
      <c r="P62" s="249"/>
      <c r="Q62" s="249"/>
    </row>
    <row r="63" spans="1:17" x14ac:dyDescent="0.15">
      <c r="A63" s="241" t="str">
        <f t="shared" si="1"/>
        <v/>
      </c>
      <c r="B63" s="246" t="str">
        <f t="shared" si="4"/>
        <v/>
      </c>
      <c r="C63" s="252" t="str">
        <f t="shared" si="0"/>
        <v/>
      </c>
      <c r="D63" s="243" t="str">
        <f t="shared" si="2"/>
        <v/>
      </c>
      <c r="E63" s="244" t="str">
        <f t="shared" si="3"/>
        <v/>
      </c>
      <c r="F63" s="249"/>
      <c r="G63" s="249"/>
      <c r="H63" s="249"/>
      <c r="I63" s="230">
        <v>59</v>
      </c>
      <c r="J63" s="230" t="str">
        <f>_xlfn.XLOOKUP(I63,'Order Page'!W$24:W$393,'Order Page'!C$24:C$393,"")</f>
        <v/>
      </c>
      <c r="K63" s="230" t="str">
        <f>_xlfn.XLOOKUP(I63,'Order Page'!W$24:W$393,'Order Page'!U$24:U$393,"")</f>
        <v/>
      </c>
      <c r="L63" s="230" t="str">
        <f>_xlfn.XLOOKUP(I63,'Order Page'!W$24:W$393,'Order Page'!S$24:S$393,"")</f>
        <v/>
      </c>
      <c r="M63" s="230" t="str">
        <f>_xlfn.XLOOKUP(I63,'Order Page'!W$24:W$393,'Order Page'!B$24:B$393,"")</f>
        <v/>
      </c>
      <c r="N63" s="230" t="str">
        <f>_xlfn.XLOOKUP(I63,'Order Page'!W$24:W$393,'Order Page'!F$24:F$393,"")</f>
        <v/>
      </c>
      <c r="O63" s="249"/>
      <c r="P63" s="249"/>
      <c r="Q63" s="249"/>
    </row>
    <row r="64" spans="1:17" x14ac:dyDescent="0.15">
      <c r="A64" s="241" t="str">
        <f t="shared" si="1"/>
        <v/>
      </c>
      <c r="B64" s="246" t="str">
        <f t="shared" si="4"/>
        <v/>
      </c>
      <c r="C64" s="252" t="str">
        <f t="shared" si="0"/>
        <v/>
      </c>
      <c r="D64" s="243" t="str">
        <f t="shared" si="2"/>
        <v/>
      </c>
      <c r="E64" s="244" t="str">
        <f t="shared" si="3"/>
        <v/>
      </c>
      <c r="F64" s="249"/>
      <c r="G64" s="249"/>
      <c r="H64" s="249"/>
      <c r="I64" s="230">
        <v>60</v>
      </c>
      <c r="J64" s="230" t="str">
        <f>_xlfn.XLOOKUP(I64,'Order Page'!W$24:W$393,'Order Page'!C$24:C$393,"")</f>
        <v/>
      </c>
      <c r="K64" s="230" t="str">
        <f>_xlfn.XLOOKUP(I64,'Order Page'!W$24:W$393,'Order Page'!U$24:U$393,"")</f>
        <v/>
      </c>
      <c r="L64" s="230" t="str">
        <f>_xlfn.XLOOKUP(I64,'Order Page'!W$24:W$393,'Order Page'!S$24:S$393,"")</f>
        <v/>
      </c>
      <c r="M64" s="230" t="str">
        <f>_xlfn.XLOOKUP(I64,'Order Page'!W$24:W$393,'Order Page'!B$24:B$393,"")</f>
        <v/>
      </c>
      <c r="N64" s="230" t="str">
        <f>_xlfn.XLOOKUP(I64,'Order Page'!W$24:W$393,'Order Page'!F$24:F$393,"")</f>
        <v/>
      </c>
      <c r="O64" s="249"/>
      <c r="P64" s="249"/>
      <c r="Q64" s="249"/>
    </row>
    <row r="65" spans="1:17" x14ac:dyDescent="0.15">
      <c r="A65" s="241" t="str">
        <f>IF(L65=0,"",IF(L65=L64,"",L65))</f>
        <v/>
      </c>
      <c r="B65" s="246" t="str">
        <f t="shared" si="4"/>
        <v/>
      </c>
      <c r="C65" s="252" t="str">
        <f t="shared" si="0"/>
        <v/>
      </c>
      <c r="D65" s="243" t="str">
        <f t="shared" si="2"/>
        <v/>
      </c>
      <c r="E65" s="244" t="str">
        <f t="shared" si="3"/>
        <v/>
      </c>
      <c r="F65" s="249"/>
      <c r="G65" s="249"/>
      <c r="H65" s="249"/>
      <c r="I65" s="230">
        <v>61</v>
      </c>
      <c r="J65" s="230" t="str">
        <f>_xlfn.XLOOKUP(I65,'Order Page'!W$24:W$393,'Order Page'!C$24:C$393,"")</f>
        <v/>
      </c>
      <c r="K65" s="230" t="str">
        <f>_xlfn.XLOOKUP(I65,'Order Page'!W$24:W$393,'Order Page'!U$24:U$393,"")</f>
        <v/>
      </c>
      <c r="L65" s="230" t="str">
        <f>_xlfn.XLOOKUP(I65,'Order Page'!W$24:W$393,'Order Page'!S$24:S$393,"")</f>
        <v/>
      </c>
      <c r="M65" s="230" t="str">
        <f>_xlfn.XLOOKUP(I65,'Order Page'!W$24:W$393,'Order Page'!B$24:B$393,"")</f>
        <v/>
      </c>
      <c r="N65" s="230" t="str">
        <f>_xlfn.XLOOKUP(I65,'Order Page'!W$24:W$393,'Order Page'!F$24:F$393,"")</f>
        <v/>
      </c>
      <c r="O65" s="249"/>
      <c r="P65" s="249"/>
      <c r="Q65" s="249"/>
    </row>
    <row r="66" spans="1:17" x14ac:dyDescent="0.15">
      <c r="A66" s="241" t="str">
        <f t="shared" si="1"/>
        <v/>
      </c>
      <c r="B66" s="246" t="str">
        <f t="shared" si="4"/>
        <v/>
      </c>
      <c r="C66" s="252" t="str">
        <f t="shared" si="0"/>
        <v/>
      </c>
      <c r="D66" s="243" t="str">
        <f>IF(J66=J65,"",K66)</f>
        <v/>
      </c>
      <c r="E66" s="244" t="str">
        <f t="shared" si="3"/>
        <v/>
      </c>
      <c r="F66" s="249"/>
      <c r="G66" s="249"/>
      <c r="H66" s="249"/>
      <c r="I66" s="230">
        <v>62</v>
      </c>
      <c r="J66" s="230" t="str">
        <f>_xlfn.XLOOKUP(I66,'Order Page'!W$24:W$393,'Order Page'!C$24:C$393,"")</f>
        <v/>
      </c>
      <c r="K66" s="230" t="str">
        <f>_xlfn.XLOOKUP(I66,'Order Page'!W$24:W$393,'Order Page'!U$24:U$393,"")</f>
        <v/>
      </c>
      <c r="L66" s="230" t="str">
        <f>_xlfn.XLOOKUP(I66,'Order Page'!W$24:W$393,'Order Page'!S$24:S$393,"")</f>
        <v/>
      </c>
      <c r="M66" s="230" t="str">
        <f>_xlfn.XLOOKUP(I66,'Order Page'!W$24:W$393,'Order Page'!B$24:B$393,"")</f>
        <v/>
      </c>
      <c r="N66" s="230" t="str">
        <f>_xlfn.XLOOKUP(I66,'Order Page'!W$24:W$393,'Order Page'!F$24:F$393,"")</f>
        <v/>
      </c>
      <c r="O66" s="249"/>
      <c r="P66" s="249"/>
      <c r="Q66" s="249"/>
    </row>
    <row r="67" spans="1:17" x14ac:dyDescent="0.15">
      <c r="A67" s="241" t="str">
        <f t="shared" si="1"/>
        <v/>
      </c>
      <c r="B67" s="246" t="str">
        <f t="shared" si="4"/>
        <v/>
      </c>
      <c r="C67" s="252" t="str">
        <f t="shared" si="0"/>
        <v/>
      </c>
      <c r="D67" s="243" t="str">
        <f t="shared" si="2"/>
        <v/>
      </c>
      <c r="E67" s="244" t="str">
        <f t="shared" si="3"/>
        <v/>
      </c>
      <c r="F67" s="249"/>
      <c r="G67" s="249"/>
      <c r="H67" s="249"/>
      <c r="I67" s="230">
        <v>63</v>
      </c>
      <c r="J67" s="230" t="str">
        <f>_xlfn.XLOOKUP(I67,'Order Page'!W$24:W$393,'Order Page'!C$24:C$393,"")</f>
        <v/>
      </c>
      <c r="K67" s="230" t="str">
        <f>_xlfn.XLOOKUP(I67,'Order Page'!W$24:W$393,'Order Page'!U$24:U$393,"")</f>
        <v/>
      </c>
      <c r="L67" s="230" t="str">
        <f>_xlfn.XLOOKUP(I67,'Order Page'!W$24:W$393,'Order Page'!S$24:S$393,"")</f>
        <v/>
      </c>
      <c r="M67" s="230" t="str">
        <f>_xlfn.XLOOKUP(I67,'Order Page'!W$24:W$393,'Order Page'!B$24:B$393,"")</f>
        <v/>
      </c>
      <c r="N67" s="230" t="str">
        <f>_xlfn.XLOOKUP(I67,'Order Page'!W$24:W$393,'Order Page'!F$24:F$393,"")</f>
        <v/>
      </c>
      <c r="O67" s="249"/>
      <c r="P67" s="249"/>
      <c r="Q67" s="249"/>
    </row>
    <row r="68" spans="1:17" x14ac:dyDescent="0.15">
      <c r="A68" s="241" t="str">
        <f t="shared" si="1"/>
        <v/>
      </c>
      <c r="B68" s="246" t="str">
        <f t="shared" si="4"/>
        <v/>
      </c>
      <c r="C68" s="252" t="str">
        <f t="shared" si="0"/>
        <v/>
      </c>
      <c r="D68" s="243" t="str">
        <f t="shared" si="2"/>
        <v/>
      </c>
      <c r="E68" s="244" t="str">
        <f t="shared" si="3"/>
        <v/>
      </c>
      <c r="F68" s="249"/>
      <c r="G68" s="249"/>
      <c r="H68" s="249"/>
      <c r="I68" s="230">
        <v>64</v>
      </c>
      <c r="J68" s="230" t="str">
        <f>_xlfn.XLOOKUP(I68,'Order Page'!W$24:W$393,'Order Page'!C$24:C$393,"")</f>
        <v/>
      </c>
      <c r="K68" s="230" t="str">
        <f>_xlfn.XLOOKUP(I68,'Order Page'!W$24:W$393,'Order Page'!U$24:U$393,"")</f>
        <v/>
      </c>
      <c r="L68" s="230" t="str">
        <f>_xlfn.XLOOKUP(I68,'Order Page'!W$24:W$393,'Order Page'!S$24:S$393,"")</f>
        <v/>
      </c>
      <c r="M68" s="230" t="str">
        <f>_xlfn.XLOOKUP(I68,'Order Page'!W$24:W$393,'Order Page'!B$24:B$393,"")</f>
        <v/>
      </c>
      <c r="N68" s="230" t="str">
        <f>_xlfn.XLOOKUP(I68,'Order Page'!W$24:W$393,'Order Page'!F$24:F$393,"")</f>
        <v/>
      </c>
      <c r="O68" s="249"/>
      <c r="P68" s="249"/>
      <c r="Q68" s="249"/>
    </row>
    <row r="69" spans="1:17" x14ac:dyDescent="0.15">
      <c r="A69" s="241" t="str">
        <f>IF(L69=0,"",IF(L69=L68,"",L69))</f>
        <v/>
      </c>
      <c r="B69" s="246" t="str">
        <f t="shared" si="4"/>
        <v/>
      </c>
      <c r="C69" s="252" t="str">
        <f t="shared" si="0"/>
        <v/>
      </c>
      <c r="D69" s="243" t="str">
        <f t="shared" si="2"/>
        <v/>
      </c>
      <c r="E69" s="244" t="str">
        <f t="shared" si="3"/>
        <v/>
      </c>
      <c r="F69" s="249"/>
      <c r="G69" s="249"/>
      <c r="H69" s="249"/>
      <c r="I69" s="230">
        <v>65</v>
      </c>
      <c r="J69" s="230" t="str">
        <f>_xlfn.XLOOKUP(I69,'Order Page'!W$24:W$393,'Order Page'!C$24:C$393,"")</f>
        <v/>
      </c>
      <c r="K69" s="230" t="str">
        <f>_xlfn.XLOOKUP(I69,'Order Page'!W$24:W$393,'Order Page'!U$24:U$393,"")</f>
        <v/>
      </c>
      <c r="L69" s="230" t="str">
        <f>_xlfn.XLOOKUP(I69,'Order Page'!W$24:W$393,'Order Page'!S$24:S$393,"")</f>
        <v/>
      </c>
      <c r="M69" s="230" t="str">
        <f>_xlfn.XLOOKUP(I69,'Order Page'!W$24:W$393,'Order Page'!B$24:B$393,"")</f>
        <v/>
      </c>
      <c r="N69" s="230" t="str">
        <f>_xlfn.XLOOKUP(I69,'Order Page'!W$24:W$393,'Order Page'!F$24:F$393,"")</f>
        <v/>
      </c>
      <c r="O69" s="249"/>
      <c r="P69" s="249"/>
      <c r="Q69" s="249"/>
    </row>
    <row r="70" spans="1:17" x14ac:dyDescent="0.15">
      <c r="A70" s="241" t="str">
        <f t="shared" si="1"/>
        <v/>
      </c>
      <c r="B70" s="246" t="str">
        <f t="shared" si="4"/>
        <v/>
      </c>
      <c r="C70" s="252" t="str">
        <f t="shared" ref="C70:C133" si="5">IF(N70=0,"",N70)</f>
        <v/>
      </c>
      <c r="D70" s="243" t="str">
        <f t="shared" si="2"/>
        <v/>
      </c>
      <c r="E70" s="244" t="str">
        <f t="shared" si="3"/>
        <v/>
      </c>
      <c r="F70" s="249"/>
      <c r="G70" s="249"/>
      <c r="H70" s="249"/>
      <c r="I70" s="230">
        <v>66</v>
      </c>
      <c r="J70" s="230" t="str">
        <f>_xlfn.XLOOKUP(I70,'Order Page'!W$24:W$393,'Order Page'!C$24:C$393,"")</f>
        <v/>
      </c>
      <c r="K70" s="230" t="str">
        <f>_xlfn.XLOOKUP(I70,'Order Page'!W$24:W$393,'Order Page'!U$24:U$393,"")</f>
        <v/>
      </c>
      <c r="L70" s="230" t="str">
        <f>_xlfn.XLOOKUP(I70,'Order Page'!W$24:W$393,'Order Page'!S$24:S$393,"")</f>
        <v/>
      </c>
      <c r="M70" s="230" t="str">
        <f>_xlfn.XLOOKUP(I70,'Order Page'!W$24:W$393,'Order Page'!B$24:B$393,"")</f>
        <v/>
      </c>
      <c r="N70" s="230" t="str">
        <f>_xlfn.XLOOKUP(I70,'Order Page'!W$24:W$393,'Order Page'!F$24:F$393,"")</f>
        <v/>
      </c>
      <c r="O70" s="249"/>
      <c r="P70" s="249"/>
      <c r="Q70" s="249"/>
    </row>
    <row r="71" spans="1:17" x14ac:dyDescent="0.15">
      <c r="A71" s="241" t="str">
        <f t="shared" si="1"/>
        <v/>
      </c>
      <c r="B71" s="246" t="str">
        <f t="shared" si="4"/>
        <v/>
      </c>
      <c r="C71" s="252" t="str">
        <f t="shared" si="5"/>
        <v/>
      </c>
      <c r="D71" s="243" t="str">
        <f t="shared" si="2"/>
        <v/>
      </c>
      <c r="E71" s="244" t="str">
        <f t="shared" si="3"/>
        <v/>
      </c>
      <c r="F71" s="249"/>
      <c r="G71" s="249"/>
      <c r="H71" s="249"/>
      <c r="I71" s="230">
        <v>67</v>
      </c>
      <c r="J71" s="230" t="str">
        <f>_xlfn.XLOOKUP(I71,'Order Page'!W$24:W$393,'Order Page'!C$24:C$393,"")</f>
        <v/>
      </c>
      <c r="K71" s="230" t="str">
        <f>_xlfn.XLOOKUP(I71,'Order Page'!W$24:W$393,'Order Page'!U$24:U$393,"")</f>
        <v/>
      </c>
      <c r="L71" s="230" t="str">
        <f>_xlfn.XLOOKUP(I71,'Order Page'!W$24:W$393,'Order Page'!S$24:S$393,"")</f>
        <v/>
      </c>
      <c r="M71" s="230" t="str">
        <f>_xlfn.XLOOKUP(I71,'Order Page'!W$24:W$393,'Order Page'!B$24:B$393,"")</f>
        <v/>
      </c>
      <c r="N71" s="230" t="str">
        <f>_xlfn.XLOOKUP(I71,'Order Page'!W$24:W$393,'Order Page'!F$24:F$393,"")</f>
        <v/>
      </c>
      <c r="O71" s="249"/>
      <c r="P71" s="249"/>
      <c r="Q71" s="249"/>
    </row>
    <row r="72" spans="1:17" x14ac:dyDescent="0.15">
      <c r="A72" s="241" t="str">
        <f t="shared" si="1"/>
        <v/>
      </c>
      <c r="B72" s="246" t="str">
        <f>IF(J72=J71,"",J72)</f>
        <v/>
      </c>
      <c r="C72" s="252" t="str">
        <f t="shared" si="5"/>
        <v/>
      </c>
      <c r="D72" s="243" t="str">
        <f t="shared" si="2"/>
        <v/>
      </c>
      <c r="E72" s="244" t="str">
        <f t="shared" si="3"/>
        <v/>
      </c>
      <c r="F72" s="249"/>
      <c r="G72" s="249"/>
      <c r="H72" s="249"/>
      <c r="I72" s="230">
        <v>68</v>
      </c>
      <c r="J72" s="230" t="str">
        <f>_xlfn.XLOOKUP(I72,'Order Page'!W$24:W$393,'Order Page'!C$24:C$393,"")</f>
        <v/>
      </c>
      <c r="K72" s="230" t="str">
        <f>_xlfn.XLOOKUP(I72,'Order Page'!W$24:W$393,'Order Page'!U$24:U$393,"")</f>
        <v/>
      </c>
      <c r="L72" s="230" t="str">
        <f>_xlfn.XLOOKUP(I72,'Order Page'!W$24:W$393,'Order Page'!S$24:S$393,"")</f>
        <v/>
      </c>
      <c r="M72" s="230" t="str">
        <f>_xlfn.XLOOKUP(I72,'Order Page'!W$24:W$393,'Order Page'!B$24:B$393,"")</f>
        <v/>
      </c>
      <c r="N72" s="230" t="str">
        <f>_xlfn.XLOOKUP(I72,'Order Page'!W$24:W$393,'Order Page'!F$24:F$393,"")</f>
        <v/>
      </c>
      <c r="O72" s="249"/>
      <c r="P72" s="249"/>
      <c r="Q72" s="249"/>
    </row>
    <row r="73" spans="1:17" x14ac:dyDescent="0.15">
      <c r="A73" s="241" t="str">
        <f t="shared" si="1"/>
        <v/>
      </c>
      <c r="B73" s="246" t="str">
        <f t="shared" si="4"/>
        <v/>
      </c>
      <c r="C73" s="252" t="str">
        <f t="shared" si="5"/>
        <v/>
      </c>
      <c r="D73" s="243" t="str">
        <f t="shared" si="2"/>
        <v/>
      </c>
      <c r="E73" s="244" t="str">
        <f t="shared" si="3"/>
        <v/>
      </c>
      <c r="F73" s="249"/>
      <c r="G73" s="249"/>
      <c r="H73" s="249"/>
      <c r="I73" s="230">
        <v>69</v>
      </c>
      <c r="J73" s="230" t="str">
        <f>_xlfn.XLOOKUP(I73,'Order Page'!W$24:W$393,'Order Page'!C$24:C$393,"")</f>
        <v/>
      </c>
      <c r="K73" s="230" t="str">
        <f>_xlfn.XLOOKUP(I73,'Order Page'!W$24:W$393,'Order Page'!U$24:U$393,"")</f>
        <v/>
      </c>
      <c r="L73" s="230" t="str">
        <f>_xlfn.XLOOKUP(I73,'Order Page'!W$24:W$393,'Order Page'!S$24:S$393,"")</f>
        <v/>
      </c>
      <c r="M73" s="230" t="str">
        <f>_xlfn.XLOOKUP(I73,'Order Page'!W$24:W$393,'Order Page'!B$24:B$393,"")</f>
        <v/>
      </c>
      <c r="N73" s="230" t="str">
        <f>_xlfn.XLOOKUP(I73,'Order Page'!W$24:W$393,'Order Page'!F$24:F$393,"")</f>
        <v/>
      </c>
      <c r="O73" s="249"/>
      <c r="P73" s="249"/>
      <c r="Q73" s="249"/>
    </row>
    <row r="74" spans="1:17" x14ac:dyDescent="0.15">
      <c r="A74" s="241" t="str">
        <f t="shared" ref="A74:A137" si="6">IF(L74=0,"",IF(L74=L73,"",L74))</f>
        <v/>
      </c>
      <c r="B74" s="246" t="str">
        <f t="shared" si="4"/>
        <v/>
      </c>
      <c r="C74" s="252" t="str">
        <f t="shared" si="5"/>
        <v/>
      </c>
      <c r="D74" s="243" t="str">
        <f t="shared" ref="D74:D137" si="7">IF(J74=J73,"",K74)</f>
        <v/>
      </c>
      <c r="E74" s="244" t="str">
        <f t="shared" si="3"/>
        <v/>
      </c>
      <c r="F74" s="249"/>
      <c r="G74" s="249"/>
      <c r="H74" s="249"/>
      <c r="I74" s="230">
        <v>70</v>
      </c>
      <c r="J74" s="230" t="str">
        <f>_xlfn.XLOOKUP(I74,'Order Page'!W$24:W$393,'Order Page'!C$24:C$393,"")</f>
        <v/>
      </c>
      <c r="K74" s="230" t="str">
        <f>_xlfn.XLOOKUP(I74,'Order Page'!W$24:W$393,'Order Page'!U$24:U$393,"")</f>
        <v/>
      </c>
      <c r="L74" s="230" t="str">
        <f>_xlfn.XLOOKUP(I74,'Order Page'!W$24:W$393,'Order Page'!S$24:S$393,"")</f>
        <v/>
      </c>
      <c r="M74" s="230" t="str">
        <f>_xlfn.XLOOKUP(I74,'Order Page'!W$24:W$393,'Order Page'!B$24:B$393,"")</f>
        <v/>
      </c>
      <c r="N74" s="230" t="str">
        <f>_xlfn.XLOOKUP(I74,'Order Page'!W$24:W$393,'Order Page'!F$24:F$393,"")</f>
        <v/>
      </c>
      <c r="O74" s="249"/>
      <c r="P74" s="249"/>
      <c r="Q74" s="249"/>
    </row>
    <row r="75" spans="1:17" x14ac:dyDescent="0.15">
      <c r="A75" s="241" t="str">
        <f t="shared" si="6"/>
        <v/>
      </c>
      <c r="B75" s="246" t="str">
        <f t="shared" si="4"/>
        <v/>
      </c>
      <c r="C75" s="252" t="str">
        <f t="shared" si="5"/>
        <v/>
      </c>
      <c r="D75" s="243" t="str">
        <f t="shared" si="7"/>
        <v/>
      </c>
      <c r="E75" s="244" t="str">
        <f t="shared" ref="E75:E138" si="8">IF(J75=J74,"",M75)</f>
        <v/>
      </c>
      <c r="F75" s="249"/>
      <c r="G75" s="249"/>
      <c r="H75" s="249"/>
      <c r="I75" s="230">
        <v>71</v>
      </c>
      <c r="J75" s="230" t="str">
        <f>_xlfn.XLOOKUP(I75,'Order Page'!W$24:W$393,'Order Page'!C$24:C$393,"")</f>
        <v/>
      </c>
      <c r="K75" s="230" t="str">
        <f>_xlfn.XLOOKUP(I75,'Order Page'!W$24:W$393,'Order Page'!U$24:U$393,"")</f>
        <v/>
      </c>
      <c r="L75" s="230" t="str">
        <f>_xlfn.XLOOKUP(I75,'Order Page'!W$24:W$393,'Order Page'!S$24:S$393,"")</f>
        <v/>
      </c>
      <c r="M75" s="230" t="str">
        <f>_xlfn.XLOOKUP(I75,'Order Page'!W$24:W$393,'Order Page'!B$24:B$393,"")</f>
        <v/>
      </c>
      <c r="N75" s="230" t="str">
        <f>_xlfn.XLOOKUP(I75,'Order Page'!W$24:W$393,'Order Page'!F$24:F$393,"")</f>
        <v/>
      </c>
      <c r="O75" s="249"/>
      <c r="P75" s="249"/>
      <c r="Q75" s="249"/>
    </row>
    <row r="76" spans="1:17" x14ac:dyDescent="0.15">
      <c r="A76" s="241" t="str">
        <f t="shared" si="6"/>
        <v/>
      </c>
      <c r="B76" s="246" t="str">
        <f t="shared" ref="B76:B139" si="9">IF(J76=J75,"",J76)</f>
        <v/>
      </c>
      <c r="C76" s="252" t="str">
        <f t="shared" si="5"/>
        <v/>
      </c>
      <c r="D76" s="243" t="str">
        <f t="shared" si="7"/>
        <v/>
      </c>
      <c r="E76" s="244" t="str">
        <f t="shared" si="8"/>
        <v/>
      </c>
      <c r="F76" s="249"/>
      <c r="G76" s="249"/>
      <c r="H76" s="249"/>
      <c r="I76" s="230">
        <v>72</v>
      </c>
      <c r="J76" s="230" t="str">
        <f>_xlfn.XLOOKUP(I76,'Order Page'!W$24:W$393,'Order Page'!C$24:C$393,"")</f>
        <v/>
      </c>
      <c r="K76" s="230" t="str">
        <f>_xlfn.XLOOKUP(I76,'Order Page'!W$24:W$393,'Order Page'!U$24:U$393,"")</f>
        <v/>
      </c>
      <c r="L76" s="230" t="str">
        <f>_xlfn.XLOOKUP(I76,'Order Page'!W$24:W$393,'Order Page'!S$24:S$393,"")</f>
        <v/>
      </c>
      <c r="M76" s="230" t="str">
        <f>_xlfn.XLOOKUP(I76,'Order Page'!W$24:W$393,'Order Page'!B$24:B$393,"")</f>
        <v/>
      </c>
      <c r="N76" s="230" t="str">
        <f>_xlfn.XLOOKUP(I76,'Order Page'!W$24:W$393,'Order Page'!F$24:F$393,"")</f>
        <v/>
      </c>
      <c r="O76" s="249"/>
      <c r="P76" s="249"/>
      <c r="Q76" s="249"/>
    </row>
    <row r="77" spans="1:17" x14ac:dyDescent="0.15">
      <c r="A77" s="241" t="str">
        <f t="shared" si="6"/>
        <v/>
      </c>
      <c r="B77" s="246" t="str">
        <f t="shared" si="9"/>
        <v/>
      </c>
      <c r="C77" s="252" t="str">
        <f t="shared" si="5"/>
        <v/>
      </c>
      <c r="D77" s="243" t="str">
        <f t="shared" si="7"/>
        <v/>
      </c>
      <c r="E77" s="244" t="str">
        <f t="shared" si="8"/>
        <v/>
      </c>
      <c r="F77" s="249"/>
      <c r="G77" s="249"/>
      <c r="H77" s="249"/>
      <c r="I77" s="230">
        <v>73</v>
      </c>
      <c r="J77" s="230" t="str">
        <f>_xlfn.XLOOKUP(I77,'Order Page'!W$24:W$393,'Order Page'!C$24:C$393,"")</f>
        <v/>
      </c>
      <c r="K77" s="230" t="str">
        <f>_xlfn.XLOOKUP(I77,'Order Page'!W$24:W$393,'Order Page'!U$24:U$393,"")</f>
        <v/>
      </c>
      <c r="L77" s="230" t="str">
        <f>_xlfn.XLOOKUP(I77,'Order Page'!W$24:W$393,'Order Page'!S$24:S$393,"")</f>
        <v/>
      </c>
      <c r="M77" s="230" t="str">
        <f>_xlfn.XLOOKUP(I77,'Order Page'!W$24:W$393,'Order Page'!B$24:B$393,"")</f>
        <v/>
      </c>
      <c r="N77" s="230" t="str">
        <f>_xlfn.XLOOKUP(I77,'Order Page'!W$24:W$393,'Order Page'!F$24:F$393,"")</f>
        <v/>
      </c>
      <c r="O77" s="249"/>
      <c r="P77" s="249"/>
      <c r="Q77" s="249"/>
    </row>
    <row r="78" spans="1:17" x14ac:dyDescent="0.15">
      <c r="A78" s="241" t="str">
        <f t="shared" si="6"/>
        <v/>
      </c>
      <c r="B78" s="246" t="str">
        <f t="shared" si="9"/>
        <v/>
      </c>
      <c r="C78" s="252" t="str">
        <f t="shared" si="5"/>
        <v/>
      </c>
      <c r="D78" s="243" t="str">
        <f t="shared" si="7"/>
        <v/>
      </c>
      <c r="E78" s="244" t="str">
        <f t="shared" si="8"/>
        <v/>
      </c>
      <c r="F78" s="249"/>
      <c r="G78" s="249"/>
      <c r="H78" s="249"/>
      <c r="I78" s="230">
        <v>74</v>
      </c>
      <c r="J78" s="230" t="str">
        <f>_xlfn.XLOOKUP(I78,'Order Page'!W$24:W$393,'Order Page'!C$24:C$393,"")</f>
        <v/>
      </c>
      <c r="K78" s="230" t="str">
        <f>_xlfn.XLOOKUP(I78,'Order Page'!W$24:W$393,'Order Page'!U$24:U$393,"")</f>
        <v/>
      </c>
      <c r="L78" s="230" t="str">
        <f>_xlfn.XLOOKUP(I78,'Order Page'!W$24:W$393,'Order Page'!S$24:S$393,"")</f>
        <v/>
      </c>
      <c r="M78" s="230" t="str">
        <f>_xlfn.XLOOKUP(I78,'Order Page'!W$24:W$393,'Order Page'!B$24:B$393,"")</f>
        <v/>
      </c>
      <c r="N78" s="230" t="str">
        <f>_xlfn.XLOOKUP(I78,'Order Page'!W$24:W$393,'Order Page'!F$24:F$393,"")</f>
        <v/>
      </c>
      <c r="O78" s="249"/>
      <c r="P78" s="249"/>
      <c r="Q78" s="249"/>
    </row>
    <row r="79" spans="1:17" x14ac:dyDescent="0.15">
      <c r="A79" s="241" t="str">
        <f t="shared" si="6"/>
        <v/>
      </c>
      <c r="B79" s="246" t="str">
        <f t="shared" si="9"/>
        <v/>
      </c>
      <c r="C79" s="252" t="str">
        <f t="shared" si="5"/>
        <v/>
      </c>
      <c r="D79" s="243" t="str">
        <f t="shared" si="7"/>
        <v/>
      </c>
      <c r="E79" s="244" t="str">
        <f t="shared" si="8"/>
        <v/>
      </c>
      <c r="F79" s="249"/>
      <c r="G79" s="249"/>
      <c r="H79" s="249"/>
      <c r="I79" s="230">
        <v>75</v>
      </c>
      <c r="J79" s="230" t="str">
        <f>_xlfn.XLOOKUP(I79,'Order Page'!W$24:W$393,'Order Page'!C$24:C$393,"")</f>
        <v/>
      </c>
      <c r="K79" s="230" t="str">
        <f>_xlfn.XLOOKUP(I79,'Order Page'!W$24:W$393,'Order Page'!U$24:U$393,"")</f>
        <v/>
      </c>
      <c r="L79" s="230" t="str">
        <f>_xlfn.XLOOKUP(I79,'Order Page'!W$24:W$393,'Order Page'!S$24:S$393,"")</f>
        <v/>
      </c>
      <c r="M79" s="230" t="str">
        <f>_xlfn.XLOOKUP(I79,'Order Page'!W$24:W$393,'Order Page'!B$24:B$393,"")</f>
        <v/>
      </c>
      <c r="N79" s="230" t="str">
        <f>_xlfn.XLOOKUP(I79,'Order Page'!W$24:W$393,'Order Page'!F$24:F$393,"")</f>
        <v/>
      </c>
      <c r="O79" s="249"/>
      <c r="P79" s="249"/>
      <c r="Q79" s="249"/>
    </row>
    <row r="80" spans="1:17" x14ac:dyDescent="0.15">
      <c r="A80" s="241" t="str">
        <f t="shared" si="6"/>
        <v/>
      </c>
      <c r="B80" s="246" t="str">
        <f t="shared" si="9"/>
        <v/>
      </c>
      <c r="C80" s="252" t="str">
        <f t="shared" si="5"/>
        <v/>
      </c>
      <c r="D80" s="243" t="str">
        <f t="shared" si="7"/>
        <v/>
      </c>
      <c r="E80" s="244" t="str">
        <f t="shared" si="8"/>
        <v/>
      </c>
      <c r="F80" s="249"/>
      <c r="G80" s="249"/>
      <c r="H80" s="249"/>
      <c r="I80" s="230">
        <v>76</v>
      </c>
      <c r="J80" s="230" t="str">
        <f>_xlfn.XLOOKUP(I80,'Order Page'!W$24:W$393,'Order Page'!C$24:C$393,"")</f>
        <v/>
      </c>
      <c r="K80" s="230" t="str">
        <f>_xlfn.XLOOKUP(I80,'Order Page'!W$24:W$393,'Order Page'!U$24:U$393,"")</f>
        <v/>
      </c>
      <c r="L80" s="230" t="str">
        <f>_xlfn.XLOOKUP(I80,'Order Page'!W$24:W$393,'Order Page'!S$24:S$393,"")</f>
        <v/>
      </c>
      <c r="M80" s="230" t="str">
        <f>_xlfn.XLOOKUP(I80,'Order Page'!W$24:W$393,'Order Page'!B$24:B$393,"")</f>
        <v/>
      </c>
      <c r="N80" s="230" t="str">
        <f>_xlfn.XLOOKUP(I80,'Order Page'!W$24:W$393,'Order Page'!F$24:F$393,"")</f>
        <v/>
      </c>
      <c r="O80" s="249"/>
      <c r="P80" s="249"/>
      <c r="Q80" s="249"/>
    </row>
    <row r="81" spans="1:17" x14ac:dyDescent="0.15">
      <c r="A81" s="241" t="str">
        <f t="shared" si="6"/>
        <v/>
      </c>
      <c r="B81" s="246" t="str">
        <f t="shared" si="9"/>
        <v/>
      </c>
      <c r="C81" s="252" t="str">
        <f t="shared" si="5"/>
        <v/>
      </c>
      <c r="D81" s="243" t="str">
        <f t="shared" si="7"/>
        <v/>
      </c>
      <c r="E81" s="244" t="str">
        <f t="shared" si="8"/>
        <v/>
      </c>
      <c r="F81" s="249"/>
      <c r="G81" s="249"/>
      <c r="H81" s="249"/>
      <c r="I81" s="230">
        <v>77</v>
      </c>
      <c r="J81" s="230" t="str">
        <f>_xlfn.XLOOKUP(I81,'Order Page'!W$24:W$393,'Order Page'!C$24:C$393,"")</f>
        <v/>
      </c>
      <c r="K81" s="230" t="str">
        <f>_xlfn.XLOOKUP(I81,'Order Page'!W$24:W$393,'Order Page'!U$24:U$393,"")</f>
        <v/>
      </c>
      <c r="L81" s="230" t="str">
        <f>_xlfn.XLOOKUP(I81,'Order Page'!W$24:W$393,'Order Page'!S$24:S$393,"")</f>
        <v/>
      </c>
      <c r="M81" s="230" t="str">
        <f>_xlfn.XLOOKUP(I81,'Order Page'!W$24:W$393,'Order Page'!B$24:B$393,"")</f>
        <v/>
      </c>
      <c r="N81" s="230" t="str">
        <f>_xlfn.XLOOKUP(I81,'Order Page'!W$24:W$393,'Order Page'!F$24:F$393,"")</f>
        <v/>
      </c>
      <c r="O81" s="249"/>
      <c r="P81" s="249"/>
      <c r="Q81" s="249"/>
    </row>
    <row r="82" spans="1:17" x14ac:dyDescent="0.15">
      <c r="A82" s="241" t="str">
        <f t="shared" si="6"/>
        <v/>
      </c>
      <c r="B82" s="246" t="str">
        <f t="shared" si="9"/>
        <v/>
      </c>
      <c r="C82" s="252" t="str">
        <f t="shared" si="5"/>
        <v/>
      </c>
      <c r="D82" s="243" t="str">
        <f t="shared" si="7"/>
        <v/>
      </c>
      <c r="E82" s="244" t="str">
        <f t="shared" si="8"/>
        <v/>
      </c>
      <c r="F82" s="249"/>
      <c r="G82" s="249"/>
      <c r="H82" s="249"/>
      <c r="I82" s="230">
        <v>78</v>
      </c>
      <c r="J82" s="230" t="str">
        <f>_xlfn.XLOOKUP(I82,'Order Page'!W$24:W$393,'Order Page'!C$24:C$393,"")</f>
        <v/>
      </c>
      <c r="K82" s="230" t="str">
        <f>_xlfn.XLOOKUP(I82,'Order Page'!W$24:W$393,'Order Page'!U$24:U$393,"")</f>
        <v/>
      </c>
      <c r="L82" s="230" t="str">
        <f>_xlfn.XLOOKUP(I82,'Order Page'!W$24:W$393,'Order Page'!S$24:S$393,"")</f>
        <v/>
      </c>
      <c r="M82" s="230" t="str">
        <f>_xlfn.XLOOKUP(I82,'Order Page'!W$24:W$393,'Order Page'!B$24:B$393,"")</f>
        <v/>
      </c>
      <c r="N82" s="230" t="str">
        <f>_xlfn.XLOOKUP(I82,'Order Page'!W$24:W$393,'Order Page'!F$24:F$393,"")</f>
        <v/>
      </c>
      <c r="O82" s="249"/>
      <c r="P82" s="249"/>
      <c r="Q82" s="249"/>
    </row>
    <row r="83" spans="1:17" x14ac:dyDescent="0.15">
      <c r="A83" s="241" t="str">
        <f t="shared" si="6"/>
        <v/>
      </c>
      <c r="B83" s="246" t="str">
        <f t="shared" si="9"/>
        <v/>
      </c>
      <c r="C83" s="252" t="str">
        <f t="shared" si="5"/>
        <v/>
      </c>
      <c r="D83" s="243" t="str">
        <f t="shared" si="7"/>
        <v/>
      </c>
      <c r="E83" s="244" t="str">
        <f t="shared" si="8"/>
        <v/>
      </c>
      <c r="F83" s="249"/>
      <c r="G83" s="249"/>
      <c r="H83" s="249"/>
      <c r="I83" s="230">
        <v>79</v>
      </c>
      <c r="J83" s="230" t="str">
        <f>_xlfn.XLOOKUP(I83,'Order Page'!W$24:W$393,'Order Page'!C$24:C$393,"")</f>
        <v/>
      </c>
      <c r="K83" s="230" t="str">
        <f>_xlfn.XLOOKUP(I83,'Order Page'!W$24:W$393,'Order Page'!U$24:U$393,"")</f>
        <v/>
      </c>
      <c r="L83" s="230" t="str">
        <f>_xlfn.XLOOKUP(I83,'Order Page'!W$24:W$393,'Order Page'!S$24:S$393,"")</f>
        <v/>
      </c>
      <c r="M83" s="230" t="str">
        <f>_xlfn.XLOOKUP(I83,'Order Page'!W$24:W$393,'Order Page'!B$24:B$393,"")</f>
        <v/>
      </c>
      <c r="N83" s="230" t="str">
        <f>_xlfn.XLOOKUP(I83,'Order Page'!W$24:W$393,'Order Page'!F$24:F$393,"")</f>
        <v/>
      </c>
      <c r="O83" s="249"/>
      <c r="P83" s="249"/>
      <c r="Q83" s="249"/>
    </row>
    <row r="84" spans="1:17" x14ac:dyDescent="0.15">
      <c r="A84" s="241" t="str">
        <f t="shared" si="6"/>
        <v/>
      </c>
      <c r="B84" s="246" t="str">
        <f t="shared" si="9"/>
        <v/>
      </c>
      <c r="C84" s="252" t="str">
        <f t="shared" si="5"/>
        <v/>
      </c>
      <c r="D84" s="243" t="str">
        <f t="shared" si="7"/>
        <v/>
      </c>
      <c r="E84" s="244" t="str">
        <f t="shared" si="8"/>
        <v/>
      </c>
      <c r="F84" s="249"/>
      <c r="G84" s="249"/>
      <c r="H84" s="249"/>
      <c r="I84" s="230">
        <v>80</v>
      </c>
      <c r="J84" s="230" t="str">
        <f>_xlfn.XLOOKUP(I84,'Order Page'!W$24:W$393,'Order Page'!C$24:C$393,"")</f>
        <v/>
      </c>
      <c r="K84" s="230" t="str">
        <f>_xlfn.XLOOKUP(I84,'Order Page'!W$24:W$393,'Order Page'!U$24:U$393,"")</f>
        <v/>
      </c>
      <c r="L84" s="230" t="str">
        <f>_xlfn.XLOOKUP(I84,'Order Page'!W$24:W$393,'Order Page'!S$24:S$393,"")</f>
        <v/>
      </c>
      <c r="M84" s="230" t="str">
        <f>_xlfn.XLOOKUP(I84,'Order Page'!W$24:W$393,'Order Page'!B$24:B$393,"")</f>
        <v/>
      </c>
      <c r="N84" s="230" t="str">
        <f>_xlfn.XLOOKUP(I84,'Order Page'!W$24:W$393,'Order Page'!F$24:F$393,"")</f>
        <v/>
      </c>
      <c r="O84" s="249"/>
      <c r="P84" s="249"/>
      <c r="Q84" s="249"/>
    </row>
    <row r="85" spans="1:17" x14ac:dyDescent="0.15">
      <c r="A85" s="241" t="str">
        <f t="shared" si="6"/>
        <v/>
      </c>
      <c r="B85" s="246" t="str">
        <f t="shared" si="9"/>
        <v/>
      </c>
      <c r="C85" s="252" t="str">
        <f t="shared" si="5"/>
        <v/>
      </c>
      <c r="D85" s="243" t="str">
        <f t="shared" si="7"/>
        <v/>
      </c>
      <c r="E85" s="244" t="str">
        <f t="shared" si="8"/>
        <v/>
      </c>
      <c r="F85" s="249"/>
      <c r="G85" s="249"/>
      <c r="H85" s="249"/>
      <c r="I85" s="230">
        <v>81</v>
      </c>
      <c r="J85" s="230" t="str">
        <f>_xlfn.XLOOKUP(I85,'Order Page'!W$24:W$393,'Order Page'!C$24:C$393,"")</f>
        <v/>
      </c>
      <c r="K85" s="230" t="str">
        <f>_xlfn.XLOOKUP(I85,'Order Page'!W$24:W$393,'Order Page'!U$24:U$393,"")</f>
        <v/>
      </c>
      <c r="L85" s="230" t="str">
        <f>_xlfn.XLOOKUP(I85,'Order Page'!W$24:W$393,'Order Page'!S$24:S$393,"")</f>
        <v/>
      </c>
      <c r="M85" s="230" t="str">
        <f>_xlfn.XLOOKUP(I85,'Order Page'!W$24:W$393,'Order Page'!B$24:B$393,"")</f>
        <v/>
      </c>
      <c r="N85" s="230" t="str">
        <f>_xlfn.XLOOKUP(I85,'Order Page'!W$24:W$393,'Order Page'!F$24:F$393,"")</f>
        <v/>
      </c>
      <c r="O85" s="249"/>
      <c r="P85" s="249"/>
      <c r="Q85" s="249"/>
    </row>
    <row r="86" spans="1:17" x14ac:dyDescent="0.15">
      <c r="A86" s="241" t="str">
        <f t="shared" si="6"/>
        <v/>
      </c>
      <c r="B86" s="246" t="str">
        <f t="shared" si="9"/>
        <v/>
      </c>
      <c r="C86" s="252" t="str">
        <f t="shared" si="5"/>
        <v/>
      </c>
      <c r="D86" s="243" t="str">
        <f t="shared" si="7"/>
        <v/>
      </c>
      <c r="E86" s="244" t="str">
        <f t="shared" si="8"/>
        <v/>
      </c>
      <c r="F86" s="249"/>
      <c r="G86" s="249"/>
      <c r="H86" s="249"/>
      <c r="I86" s="230">
        <v>82</v>
      </c>
      <c r="J86" s="230" t="str">
        <f>_xlfn.XLOOKUP(I86,'Order Page'!W$24:W$393,'Order Page'!C$24:C$393,"")</f>
        <v/>
      </c>
      <c r="K86" s="230" t="str">
        <f>_xlfn.XLOOKUP(I86,'Order Page'!W$24:W$393,'Order Page'!U$24:U$393,"")</f>
        <v/>
      </c>
      <c r="L86" s="230" t="str">
        <f>_xlfn.XLOOKUP(I86,'Order Page'!W$24:W$393,'Order Page'!S$24:S$393,"")</f>
        <v/>
      </c>
      <c r="M86" s="230" t="str">
        <f>_xlfn.XLOOKUP(I86,'Order Page'!W$24:W$393,'Order Page'!B$24:B$393,"")</f>
        <v/>
      </c>
      <c r="N86" s="230" t="str">
        <f>_xlfn.XLOOKUP(I86,'Order Page'!W$24:W$393,'Order Page'!F$24:F$393,"")</f>
        <v/>
      </c>
      <c r="O86" s="249"/>
      <c r="P86" s="249"/>
      <c r="Q86" s="249"/>
    </row>
    <row r="87" spans="1:17" x14ac:dyDescent="0.15">
      <c r="A87" s="241" t="str">
        <f t="shared" si="6"/>
        <v/>
      </c>
      <c r="B87" s="246" t="str">
        <f t="shared" si="9"/>
        <v/>
      </c>
      <c r="C87" s="252" t="str">
        <f t="shared" si="5"/>
        <v/>
      </c>
      <c r="D87" s="243" t="str">
        <f t="shared" si="7"/>
        <v/>
      </c>
      <c r="E87" s="244" t="str">
        <f t="shared" si="8"/>
        <v/>
      </c>
      <c r="F87" s="249"/>
      <c r="G87" s="249"/>
      <c r="H87" s="249"/>
      <c r="I87" s="230">
        <v>83</v>
      </c>
      <c r="J87" s="230" t="str">
        <f>_xlfn.XLOOKUP(I87,'Order Page'!W$24:W$393,'Order Page'!C$24:C$393,"")</f>
        <v/>
      </c>
      <c r="K87" s="230" t="str">
        <f>_xlfn.XLOOKUP(I87,'Order Page'!W$24:W$393,'Order Page'!U$24:U$393,"")</f>
        <v/>
      </c>
      <c r="L87" s="230" t="str">
        <f>_xlfn.XLOOKUP(I87,'Order Page'!W$24:W$393,'Order Page'!S$24:S$393,"")</f>
        <v/>
      </c>
      <c r="M87" s="230" t="str">
        <f>_xlfn.XLOOKUP(I87,'Order Page'!W$24:W$393,'Order Page'!B$24:B$393,"")</f>
        <v/>
      </c>
      <c r="N87" s="230" t="str">
        <f>_xlfn.XLOOKUP(I87,'Order Page'!W$24:W$393,'Order Page'!F$24:F$393,"")</f>
        <v/>
      </c>
      <c r="O87" s="249"/>
      <c r="P87" s="249"/>
      <c r="Q87" s="249"/>
    </row>
    <row r="88" spans="1:17" x14ac:dyDescent="0.15">
      <c r="A88" s="241" t="str">
        <f t="shared" si="6"/>
        <v/>
      </c>
      <c r="B88" s="246" t="str">
        <f t="shared" si="9"/>
        <v/>
      </c>
      <c r="C88" s="252" t="str">
        <f t="shared" si="5"/>
        <v/>
      </c>
      <c r="D88" s="243" t="str">
        <f t="shared" si="7"/>
        <v/>
      </c>
      <c r="E88" s="244" t="str">
        <f t="shared" si="8"/>
        <v/>
      </c>
      <c r="F88" s="249"/>
      <c r="G88" s="249"/>
      <c r="H88" s="249"/>
      <c r="I88" s="230">
        <v>84</v>
      </c>
      <c r="J88" s="230" t="str">
        <f>_xlfn.XLOOKUP(I88,'Order Page'!W$24:W$393,'Order Page'!C$24:C$393,"")</f>
        <v/>
      </c>
      <c r="K88" s="230" t="str">
        <f>_xlfn.XLOOKUP(I88,'Order Page'!W$24:W$393,'Order Page'!U$24:U$393,"")</f>
        <v/>
      </c>
      <c r="L88" s="230" t="str">
        <f>_xlfn.XLOOKUP(I88,'Order Page'!W$24:W$393,'Order Page'!S$24:S$393,"")</f>
        <v/>
      </c>
      <c r="M88" s="230" t="str">
        <f>_xlfn.XLOOKUP(I88,'Order Page'!W$24:W$393,'Order Page'!B$24:B$393,"")</f>
        <v/>
      </c>
      <c r="N88" s="230" t="str">
        <f>_xlfn.XLOOKUP(I88,'Order Page'!W$24:W$393,'Order Page'!F$24:F$393,"")</f>
        <v/>
      </c>
      <c r="O88" s="249"/>
      <c r="P88" s="249"/>
      <c r="Q88" s="249"/>
    </row>
    <row r="89" spans="1:17" x14ac:dyDescent="0.15">
      <c r="A89" s="241" t="str">
        <f t="shared" si="6"/>
        <v/>
      </c>
      <c r="B89" s="246" t="str">
        <f t="shared" si="9"/>
        <v/>
      </c>
      <c r="C89" s="252" t="str">
        <f t="shared" si="5"/>
        <v/>
      </c>
      <c r="D89" s="243" t="str">
        <f t="shared" si="7"/>
        <v/>
      </c>
      <c r="E89" s="244" t="str">
        <f t="shared" si="8"/>
        <v/>
      </c>
      <c r="F89" s="249"/>
      <c r="G89" s="249"/>
      <c r="H89" s="249"/>
      <c r="I89" s="230">
        <v>85</v>
      </c>
      <c r="J89" s="230" t="str">
        <f>_xlfn.XLOOKUP(I89,'Order Page'!W$24:W$393,'Order Page'!C$24:C$393,"")</f>
        <v/>
      </c>
      <c r="K89" s="230" t="str">
        <f>_xlfn.XLOOKUP(I89,'Order Page'!W$24:W$393,'Order Page'!U$24:U$393,"")</f>
        <v/>
      </c>
      <c r="L89" s="230" t="str">
        <f>_xlfn.XLOOKUP(I89,'Order Page'!W$24:W$393,'Order Page'!S$24:S$393,"")</f>
        <v/>
      </c>
      <c r="M89" s="230" t="str">
        <f>_xlfn.XLOOKUP(I89,'Order Page'!W$24:W$393,'Order Page'!B$24:B$393,"")</f>
        <v/>
      </c>
      <c r="N89" s="230" t="str">
        <f>_xlfn.XLOOKUP(I89,'Order Page'!W$24:W$393,'Order Page'!F$24:F$393,"")</f>
        <v/>
      </c>
      <c r="O89" s="249"/>
      <c r="P89" s="249"/>
      <c r="Q89" s="249"/>
    </row>
    <row r="90" spans="1:17" x14ac:dyDescent="0.15">
      <c r="A90" s="241" t="str">
        <f t="shared" si="6"/>
        <v/>
      </c>
      <c r="B90" s="246" t="str">
        <f t="shared" si="9"/>
        <v/>
      </c>
      <c r="C90" s="252" t="str">
        <f t="shared" si="5"/>
        <v/>
      </c>
      <c r="D90" s="243" t="str">
        <f t="shared" si="7"/>
        <v/>
      </c>
      <c r="E90" s="244" t="str">
        <f t="shared" si="8"/>
        <v/>
      </c>
      <c r="F90" s="249"/>
      <c r="G90" s="249"/>
      <c r="H90" s="249"/>
      <c r="I90" s="230">
        <v>86</v>
      </c>
      <c r="J90" s="230" t="str">
        <f>_xlfn.XLOOKUP(I90,'Order Page'!W$24:W$393,'Order Page'!C$24:C$393,"")</f>
        <v/>
      </c>
      <c r="K90" s="230" t="str">
        <f>_xlfn.XLOOKUP(I90,'Order Page'!W$24:W$393,'Order Page'!U$24:U$393,"")</f>
        <v/>
      </c>
      <c r="L90" s="230" t="str">
        <f>_xlfn.XLOOKUP(I90,'Order Page'!W$24:W$393,'Order Page'!S$24:S$393,"")</f>
        <v/>
      </c>
      <c r="M90" s="230" t="str">
        <f>_xlfn.XLOOKUP(I90,'Order Page'!W$24:W$393,'Order Page'!B$24:B$393,"")</f>
        <v/>
      </c>
      <c r="N90" s="230" t="str">
        <f>_xlfn.XLOOKUP(I90,'Order Page'!W$24:W$393,'Order Page'!F$24:F$393,"")</f>
        <v/>
      </c>
      <c r="O90" s="249"/>
      <c r="P90" s="249"/>
      <c r="Q90" s="249"/>
    </row>
    <row r="91" spans="1:17" x14ac:dyDescent="0.15">
      <c r="A91" s="241" t="str">
        <f t="shared" si="6"/>
        <v/>
      </c>
      <c r="B91" s="246" t="str">
        <f t="shared" si="9"/>
        <v/>
      </c>
      <c r="C91" s="252" t="str">
        <f t="shared" si="5"/>
        <v/>
      </c>
      <c r="D91" s="243" t="str">
        <f t="shared" si="7"/>
        <v/>
      </c>
      <c r="E91" s="244" t="str">
        <f t="shared" si="8"/>
        <v/>
      </c>
      <c r="F91" s="249"/>
      <c r="G91" s="249"/>
      <c r="H91" s="249"/>
      <c r="I91" s="230">
        <v>87</v>
      </c>
      <c r="J91" s="230" t="str">
        <f>_xlfn.XLOOKUP(I91,'Order Page'!W$24:W$393,'Order Page'!C$24:C$393,"")</f>
        <v/>
      </c>
      <c r="K91" s="230" t="str">
        <f>_xlfn.XLOOKUP(I91,'Order Page'!W$24:W$393,'Order Page'!U$24:U$393,"")</f>
        <v/>
      </c>
      <c r="L91" s="230" t="str">
        <f>_xlfn.XLOOKUP(I91,'Order Page'!W$24:W$393,'Order Page'!S$24:S$393,"")</f>
        <v/>
      </c>
      <c r="M91" s="230" t="str">
        <f>_xlfn.XLOOKUP(I91,'Order Page'!W$24:W$393,'Order Page'!B$24:B$393,"")</f>
        <v/>
      </c>
      <c r="N91" s="230" t="str">
        <f>_xlfn.XLOOKUP(I91,'Order Page'!W$24:W$393,'Order Page'!F$24:F$393,"")</f>
        <v/>
      </c>
      <c r="O91" s="249"/>
      <c r="P91" s="249"/>
      <c r="Q91" s="249"/>
    </row>
    <row r="92" spans="1:17" x14ac:dyDescent="0.15">
      <c r="A92" s="241" t="str">
        <f t="shared" si="6"/>
        <v/>
      </c>
      <c r="B92" s="246" t="str">
        <f t="shared" si="9"/>
        <v/>
      </c>
      <c r="C92" s="252" t="str">
        <f t="shared" si="5"/>
        <v/>
      </c>
      <c r="D92" s="243" t="str">
        <f t="shared" si="7"/>
        <v/>
      </c>
      <c r="E92" s="244" t="str">
        <f t="shared" si="8"/>
        <v/>
      </c>
      <c r="F92" s="249"/>
      <c r="G92" s="249"/>
      <c r="H92" s="249"/>
      <c r="I92" s="230">
        <v>88</v>
      </c>
      <c r="J92" s="230" t="str">
        <f>_xlfn.XLOOKUP(I92,'Order Page'!W$24:W$393,'Order Page'!C$24:C$393,"")</f>
        <v/>
      </c>
      <c r="K92" s="230" t="str">
        <f>_xlfn.XLOOKUP(I92,'Order Page'!W$24:W$393,'Order Page'!U$24:U$393,"")</f>
        <v/>
      </c>
      <c r="L92" s="230" t="str">
        <f>_xlfn.XLOOKUP(I92,'Order Page'!W$24:W$393,'Order Page'!S$24:S$393,"")</f>
        <v/>
      </c>
      <c r="M92" s="230" t="str">
        <f>_xlfn.XLOOKUP(I92,'Order Page'!W$24:W$393,'Order Page'!B$24:B$393,"")</f>
        <v/>
      </c>
      <c r="N92" s="230" t="str">
        <f>_xlfn.XLOOKUP(I92,'Order Page'!W$24:W$393,'Order Page'!F$24:F$393,"")</f>
        <v/>
      </c>
      <c r="O92" s="249"/>
      <c r="P92" s="249"/>
      <c r="Q92" s="249"/>
    </row>
    <row r="93" spans="1:17" x14ac:dyDescent="0.15">
      <c r="A93" s="241" t="str">
        <f t="shared" si="6"/>
        <v/>
      </c>
      <c r="B93" s="246" t="str">
        <f t="shared" si="9"/>
        <v/>
      </c>
      <c r="C93" s="252" t="str">
        <f t="shared" si="5"/>
        <v/>
      </c>
      <c r="D93" s="243" t="str">
        <f t="shared" si="7"/>
        <v/>
      </c>
      <c r="E93" s="244" t="str">
        <f t="shared" si="8"/>
        <v/>
      </c>
      <c r="F93" s="249"/>
      <c r="G93" s="249"/>
      <c r="H93" s="249"/>
      <c r="I93" s="230">
        <v>89</v>
      </c>
      <c r="J93" s="230" t="str">
        <f>_xlfn.XLOOKUP(I93,'Order Page'!W$24:W$393,'Order Page'!C$24:C$393,"")</f>
        <v/>
      </c>
      <c r="K93" s="230" t="str">
        <f>_xlfn.XLOOKUP(I93,'Order Page'!W$24:W$393,'Order Page'!U$24:U$393,"")</f>
        <v/>
      </c>
      <c r="L93" s="230" t="str">
        <f>_xlfn.XLOOKUP(I93,'Order Page'!W$24:W$393,'Order Page'!S$24:S$393,"")</f>
        <v/>
      </c>
      <c r="M93" s="230" t="str">
        <f>_xlfn.XLOOKUP(I93,'Order Page'!W$24:W$393,'Order Page'!B$24:B$393,"")</f>
        <v/>
      </c>
      <c r="N93" s="230" t="str">
        <f>_xlfn.XLOOKUP(I93,'Order Page'!W$24:W$393,'Order Page'!F$24:F$393,"")</f>
        <v/>
      </c>
      <c r="O93" s="249"/>
      <c r="P93" s="249"/>
      <c r="Q93" s="249"/>
    </row>
    <row r="94" spans="1:17" x14ac:dyDescent="0.15">
      <c r="A94" s="241" t="str">
        <f t="shared" si="6"/>
        <v/>
      </c>
      <c r="B94" s="246" t="str">
        <f t="shared" si="9"/>
        <v/>
      </c>
      <c r="C94" s="252" t="str">
        <f t="shared" si="5"/>
        <v/>
      </c>
      <c r="D94" s="243" t="str">
        <f t="shared" si="7"/>
        <v/>
      </c>
      <c r="E94" s="244" t="str">
        <f t="shared" si="8"/>
        <v/>
      </c>
      <c r="F94" s="249"/>
      <c r="G94" s="249"/>
      <c r="H94" s="249"/>
      <c r="I94" s="230">
        <v>90</v>
      </c>
      <c r="J94" s="230" t="str">
        <f>_xlfn.XLOOKUP(I94,'Order Page'!W$24:W$393,'Order Page'!C$24:C$393,"")</f>
        <v/>
      </c>
      <c r="K94" s="230" t="str">
        <f>_xlfn.XLOOKUP(I94,'Order Page'!W$24:W$393,'Order Page'!U$24:U$393,"")</f>
        <v/>
      </c>
      <c r="L94" s="230" t="str">
        <f>_xlfn.XLOOKUP(I94,'Order Page'!W$24:W$393,'Order Page'!S$24:S$393,"")</f>
        <v/>
      </c>
      <c r="M94" s="230" t="str">
        <f>_xlfn.XLOOKUP(I94,'Order Page'!W$24:W$393,'Order Page'!B$24:B$393,"")</f>
        <v/>
      </c>
      <c r="N94" s="230" t="str">
        <f>_xlfn.XLOOKUP(I94,'Order Page'!W$24:W$393,'Order Page'!F$24:F$393,"")</f>
        <v/>
      </c>
      <c r="O94" s="249"/>
      <c r="P94" s="249"/>
      <c r="Q94" s="249"/>
    </row>
    <row r="95" spans="1:17" x14ac:dyDescent="0.15">
      <c r="A95" s="241" t="str">
        <f t="shared" si="6"/>
        <v/>
      </c>
      <c r="B95" s="246" t="str">
        <f t="shared" si="9"/>
        <v/>
      </c>
      <c r="C95" s="252" t="str">
        <f t="shared" si="5"/>
        <v/>
      </c>
      <c r="D95" s="243" t="str">
        <f t="shared" si="7"/>
        <v/>
      </c>
      <c r="E95" s="244" t="str">
        <f t="shared" si="8"/>
        <v/>
      </c>
      <c r="F95" s="249"/>
      <c r="G95" s="249"/>
      <c r="H95" s="249"/>
      <c r="I95" s="230">
        <v>91</v>
      </c>
      <c r="J95" s="230" t="str">
        <f>_xlfn.XLOOKUP(I95,'Order Page'!W$24:W$393,'Order Page'!C$24:C$393,"")</f>
        <v/>
      </c>
      <c r="K95" s="230" t="str">
        <f>_xlfn.XLOOKUP(I95,'Order Page'!W$24:W$393,'Order Page'!U$24:U$393,"")</f>
        <v/>
      </c>
      <c r="L95" s="230" t="str">
        <f>_xlfn.XLOOKUP(I95,'Order Page'!W$24:W$393,'Order Page'!S$24:S$393,"")</f>
        <v/>
      </c>
      <c r="M95" s="230" t="str">
        <f>_xlfn.XLOOKUP(I95,'Order Page'!W$24:W$393,'Order Page'!B$24:B$393,"")</f>
        <v/>
      </c>
      <c r="N95" s="230" t="str">
        <f>_xlfn.XLOOKUP(I95,'Order Page'!W$24:W$393,'Order Page'!F$24:F$393,"")</f>
        <v/>
      </c>
      <c r="O95" s="249"/>
      <c r="P95" s="249"/>
      <c r="Q95" s="249"/>
    </row>
    <row r="96" spans="1:17" x14ac:dyDescent="0.15">
      <c r="A96" s="241" t="str">
        <f t="shared" si="6"/>
        <v/>
      </c>
      <c r="B96" s="246" t="str">
        <f t="shared" si="9"/>
        <v/>
      </c>
      <c r="C96" s="252" t="str">
        <f t="shared" si="5"/>
        <v/>
      </c>
      <c r="D96" s="243" t="str">
        <f t="shared" si="7"/>
        <v/>
      </c>
      <c r="E96" s="244" t="str">
        <f t="shared" si="8"/>
        <v/>
      </c>
      <c r="F96" s="249"/>
      <c r="G96" s="249"/>
      <c r="H96" s="249"/>
      <c r="I96" s="230">
        <v>92</v>
      </c>
      <c r="J96" s="230" t="str">
        <f>_xlfn.XLOOKUP(I96,'Order Page'!W$24:W$393,'Order Page'!C$24:C$393,"")</f>
        <v/>
      </c>
      <c r="K96" s="230" t="str">
        <f>_xlfn.XLOOKUP(I96,'Order Page'!W$24:W$393,'Order Page'!U$24:U$393,"")</f>
        <v/>
      </c>
      <c r="L96" s="230" t="str">
        <f>_xlfn.XLOOKUP(I96,'Order Page'!W$24:W$393,'Order Page'!S$24:S$393,"")</f>
        <v/>
      </c>
      <c r="M96" s="230" t="str">
        <f>_xlfn.XLOOKUP(I96,'Order Page'!W$24:W$393,'Order Page'!B$24:B$393,"")</f>
        <v/>
      </c>
      <c r="N96" s="230" t="str">
        <f>_xlfn.XLOOKUP(I96,'Order Page'!W$24:W$393,'Order Page'!F$24:F$393,"")</f>
        <v/>
      </c>
      <c r="O96" s="249"/>
      <c r="P96" s="249"/>
      <c r="Q96" s="249"/>
    </row>
    <row r="97" spans="1:17" x14ac:dyDescent="0.15">
      <c r="A97" s="241" t="str">
        <f t="shared" si="6"/>
        <v/>
      </c>
      <c r="B97" s="246" t="str">
        <f t="shared" si="9"/>
        <v/>
      </c>
      <c r="C97" s="252" t="str">
        <f t="shared" si="5"/>
        <v/>
      </c>
      <c r="D97" s="243" t="str">
        <f>IF(J97=J96,"",K97)</f>
        <v/>
      </c>
      <c r="E97" s="244" t="str">
        <f t="shared" si="8"/>
        <v/>
      </c>
      <c r="F97" s="249"/>
      <c r="G97" s="249"/>
      <c r="H97" s="249"/>
      <c r="I97" s="230">
        <v>93</v>
      </c>
      <c r="J97" s="230" t="str">
        <f>_xlfn.XLOOKUP(I97,'Order Page'!W$24:W$393,'Order Page'!C$24:C$393,"")</f>
        <v/>
      </c>
      <c r="K97" s="230" t="str">
        <f>_xlfn.XLOOKUP(I97,'Order Page'!W$24:W$393,'Order Page'!U$24:U$393,"")</f>
        <v/>
      </c>
      <c r="L97" s="230" t="str">
        <f>_xlfn.XLOOKUP(I97,'Order Page'!W$24:W$393,'Order Page'!S$24:S$393,"")</f>
        <v/>
      </c>
      <c r="M97" s="230" t="str">
        <f>_xlfn.XLOOKUP(I97,'Order Page'!W$24:W$393,'Order Page'!B$24:B$393,"")</f>
        <v/>
      </c>
      <c r="N97" s="230" t="str">
        <f>_xlfn.XLOOKUP(I97,'Order Page'!W$24:W$393,'Order Page'!F$24:F$393,"")</f>
        <v/>
      </c>
      <c r="O97" s="249"/>
      <c r="P97" s="249"/>
      <c r="Q97" s="249"/>
    </row>
    <row r="98" spans="1:17" x14ac:dyDescent="0.15">
      <c r="A98" s="241" t="str">
        <f t="shared" si="6"/>
        <v/>
      </c>
      <c r="B98" s="246" t="str">
        <f t="shared" si="9"/>
        <v/>
      </c>
      <c r="C98" s="252" t="str">
        <f t="shared" si="5"/>
        <v/>
      </c>
      <c r="D98" s="243" t="str">
        <f t="shared" si="7"/>
        <v/>
      </c>
      <c r="E98" s="244" t="str">
        <f t="shared" si="8"/>
        <v/>
      </c>
      <c r="F98" s="249"/>
      <c r="G98" s="249"/>
      <c r="H98" s="249"/>
      <c r="I98" s="230">
        <v>94</v>
      </c>
      <c r="J98" s="230" t="str">
        <f>_xlfn.XLOOKUP(I98,'Order Page'!W$24:W$393,'Order Page'!C$24:C$393,"")</f>
        <v/>
      </c>
      <c r="K98" s="230" t="str">
        <f>_xlfn.XLOOKUP(I98,'Order Page'!W$24:W$393,'Order Page'!U$24:U$393,"")</f>
        <v/>
      </c>
      <c r="L98" s="230" t="str">
        <f>_xlfn.XLOOKUP(I98,'Order Page'!W$24:W$393,'Order Page'!S$24:S$393,"")</f>
        <v/>
      </c>
      <c r="M98" s="230" t="str">
        <f>_xlfn.XLOOKUP(I98,'Order Page'!W$24:W$393,'Order Page'!B$24:B$393,"")</f>
        <v/>
      </c>
      <c r="N98" s="230" t="str">
        <f>_xlfn.XLOOKUP(I98,'Order Page'!W$24:W$393,'Order Page'!F$24:F$393,"")</f>
        <v/>
      </c>
      <c r="O98" s="249"/>
      <c r="P98" s="249"/>
      <c r="Q98" s="249"/>
    </row>
    <row r="99" spans="1:17" x14ac:dyDescent="0.15">
      <c r="A99" s="241" t="str">
        <f t="shared" si="6"/>
        <v/>
      </c>
      <c r="B99" s="246" t="str">
        <f t="shared" si="9"/>
        <v/>
      </c>
      <c r="C99" s="252" t="str">
        <f t="shared" si="5"/>
        <v/>
      </c>
      <c r="D99" s="243" t="str">
        <f t="shared" si="7"/>
        <v/>
      </c>
      <c r="E99" s="244" t="str">
        <f t="shared" si="8"/>
        <v/>
      </c>
      <c r="F99" s="249"/>
      <c r="G99" s="249"/>
      <c r="H99" s="249"/>
      <c r="I99" s="230">
        <v>95</v>
      </c>
      <c r="J99" s="230" t="str">
        <f>_xlfn.XLOOKUP(I99,'Order Page'!W$24:W$393,'Order Page'!C$24:C$393,"")</f>
        <v/>
      </c>
      <c r="K99" s="230" t="str">
        <f>_xlfn.XLOOKUP(I99,'Order Page'!W$24:W$393,'Order Page'!U$24:U$393,"")</f>
        <v/>
      </c>
      <c r="L99" s="230" t="str">
        <f>_xlfn.XLOOKUP(I99,'Order Page'!W$24:W$393,'Order Page'!S$24:S$393,"")</f>
        <v/>
      </c>
      <c r="M99" s="230" t="str">
        <f>_xlfn.XLOOKUP(I99,'Order Page'!W$24:W$393,'Order Page'!B$24:B$393,"")</f>
        <v/>
      </c>
      <c r="N99" s="230" t="str">
        <f>_xlfn.XLOOKUP(I99,'Order Page'!W$24:W$393,'Order Page'!F$24:F$393,"")</f>
        <v/>
      </c>
      <c r="O99" s="249"/>
      <c r="P99" s="249"/>
      <c r="Q99" s="249"/>
    </row>
    <row r="100" spans="1:17" x14ac:dyDescent="0.15">
      <c r="A100" s="241" t="str">
        <f t="shared" si="6"/>
        <v/>
      </c>
      <c r="B100" s="246" t="str">
        <f>IF(J100=J99,"",J100)</f>
        <v/>
      </c>
      <c r="C100" s="252" t="str">
        <f t="shared" si="5"/>
        <v/>
      </c>
      <c r="D100" s="243" t="str">
        <f t="shared" si="7"/>
        <v/>
      </c>
      <c r="E100" s="244" t="str">
        <f t="shared" si="8"/>
        <v/>
      </c>
      <c r="F100" s="249"/>
      <c r="G100" s="249"/>
      <c r="H100" s="249"/>
      <c r="I100" s="230">
        <v>96</v>
      </c>
      <c r="J100" s="230" t="str">
        <f>_xlfn.XLOOKUP(I100,'Order Page'!W$24:W$393,'Order Page'!C$24:C$393,"")</f>
        <v/>
      </c>
      <c r="K100" s="230" t="str">
        <f>_xlfn.XLOOKUP(I100,'Order Page'!W$24:W$393,'Order Page'!U$24:U$393,"")</f>
        <v/>
      </c>
      <c r="L100" s="230" t="str">
        <f>_xlfn.XLOOKUP(I100,'Order Page'!W$24:W$393,'Order Page'!S$24:S$393,"")</f>
        <v/>
      </c>
      <c r="M100" s="230" t="str">
        <f>_xlfn.XLOOKUP(I100,'Order Page'!W$24:W$393,'Order Page'!B$24:B$393,"")</f>
        <v/>
      </c>
      <c r="N100" s="230" t="str">
        <f>_xlfn.XLOOKUP(I100,'Order Page'!W$24:W$393,'Order Page'!F$24:F$393,"")</f>
        <v/>
      </c>
      <c r="O100" s="249"/>
      <c r="P100" s="249"/>
      <c r="Q100" s="249"/>
    </row>
    <row r="101" spans="1:17" x14ac:dyDescent="0.15">
      <c r="A101" s="241" t="str">
        <f t="shared" si="6"/>
        <v/>
      </c>
      <c r="B101" s="246" t="str">
        <f t="shared" si="9"/>
        <v/>
      </c>
      <c r="C101" s="252" t="str">
        <f t="shared" si="5"/>
        <v/>
      </c>
      <c r="D101" s="243" t="str">
        <f t="shared" si="7"/>
        <v/>
      </c>
      <c r="E101" s="244" t="str">
        <f t="shared" si="8"/>
        <v/>
      </c>
      <c r="F101" s="249"/>
      <c r="G101" s="249"/>
      <c r="H101" s="249"/>
      <c r="I101" s="230">
        <v>97</v>
      </c>
      <c r="J101" s="230" t="str">
        <f>_xlfn.XLOOKUP(I101,'Order Page'!W$24:W$393,'Order Page'!C$24:C$393,"")</f>
        <v/>
      </c>
      <c r="K101" s="230" t="str">
        <f>_xlfn.XLOOKUP(I101,'Order Page'!W$24:W$393,'Order Page'!U$24:U$393,"")</f>
        <v/>
      </c>
      <c r="L101" s="230" t="str">
        <f>_xlfn.XLOOKUP(I101,'Order Page'!W$24:W$393,'Order Page'!S$24:S$393,"")</f>
        <v/>
      </c>
      <c r="M101" s="230" t="str">
        <f>_xlfn.XLOOKUP(I101,'Order Page'!W$24:W$393,'Order Page'!B$24:B$393,"")</f>
        <v/>
      </c>
      <c r="N101" s="230" t="str">
        <f>_xlfn.XLOOKUP(I101,'Order Page'!W$24:W$393,'Order Page'!F$24:F$393,"")</f>
        <v/>
      </c>
      <c r="O101" s="249"/>
      <c r="P101" s="249"/>
      <c r="Q101" s="249"/>
    </row>
    <row r="102" spans="1:17" x14ac:dyDescent="0.15">
      <c r="A102" s="241" t="str">
        <f t="shared" si="6"/>
        <v/>
      </c>
      <c r="B102" s="246" t="str">
        <f t="shared" si="9"/>
        <v/>
      </c>
      <c r="C102" s="252" t="str">
        <f t="shared" si="5"/>
        <v/>
      </c>
      <c r="D102" s="243" t="str">
        <f t="shared" si="7"/>
        <v/>
      </c>
      <c r="E102" s="244" t="str">
        <f t="shared" si="8"/>
        <v/>
      </c>
      <c r="F102" s="249"/>
      <c r="G102" s="249"/>
      <c r="H102" s="249"/>
      <c r="I102" s="230">
        <v>98</v>
      </c>
      <c r="J102" s="230" t="str">
        <f>_xlfn.XLOOKUP(I102,'Order Page'!W$24:W$393,'Order Page'!C$24:C$393,"")</f>
        <v/>
      </c>
      <c r="K102" s="230" t="str">
        <f>_xlfn.XLOOKUP(I102,'Order Page'!W$24:W$393,'Order Page'!U$24:U$393,"")</f>
        <v/>
      </c>
      <c r="L102" s="230" t="str">
        <f>_xlfn.XLOOKUP(I102,'Order Page'!W$24:W$393,'Order Page'!S$24:S$393,"")</f>
        <v/>
      </c>
      <c r="M102" s="230" t="str">
        <f>_xlfn.XLOOKUP(I102,'Order Page'!W$24:W$393,'Order Page'!B$24:B$393,"")</f>
        <v/>
      </c>
      <c r="N102" s="230" t="str">
        <f>_xlfn.XLOOKUP(I102,'Order Page'!W$24:W$393,'Order Page'!F$24:F$393,"")</f>
        <v/>
      </c>
      <c r="O102" s="249"/>
      <c r="P102" s="249"/>
      <c r="Q102" s="249"/>
    </row>
    <row r="103" spans="1:17" x14ac:dyDescent="0.15">
      <c r="A103" s="241" t="str">
        <f t="shared" si="6"/>
        <v/>
      </c>
      <c r="B103" s="246" t="str">
        <f t="shared" si="9"/>
        <v/>
      </c>
      <c r="C103" s="252" t="str">
        <f t="shared" si="5"/>
        <v/>
      </c>
      <c r="D103" s="243" t="str">
        <f t="shared" si="7"/>
        <v/>
      </c>
      <c r="E103" s="244" t="str">
        <f t="shared" si="8"/>
        <v/>
      </c>
      <c r="F103" s="249"/>
      <c r="G103" s="249"/>
      <c r="H103" s="249"/>
      <c r="I103" s="230">
        <v>99</v>
      </c>
      <c r="J103" s="230" t="str">
        <f>_xlfn.XLOOKUP(I103,'Order Page'!W$24:W$393,'Order Page'!C$24:C$393,"")</f>
        <v/>
      </c>
      <c r="K103" s="230" t="str">
        <f>_xlfn.XLOOKUP(I103,'Order Page'!W$24:W$393,'Order Page'!U$24:U$393,"")</f>
        <v/>
      </c>
      <c r="L103" s="230" t="str">
        <f>_xlfn.XLOOKUP(I103,'Order Page'!W$24:W$393,'Order Page'!S$24:S$393,"")</f>
        <v/>
      </c>
      <c r="M103" s="230" t="str">
        <f>_xlfn.XLOOKUP(I103,'Order Page'!W$24:W$393,'Order Page'!B$24:B$393,"")</f>
        <v/>
      </c>
      <c r="N103" s="230" t="str">
        <f>_xlfn.XLOOKUP(I103,'Order Page'!W$24:W$393,'Order Page'!F$24:F$393,"")</f>
        <v/>
      </c>
      <c r="O103" s="249"/>
      <c r="P103" s="249"/>
      <c r="Q103" s="249"/>
    </row>
    <row r="104" spans="1:17" x14ac:dyDescent="0.15">
      <c r="A104" s="241" t="str">
        <f t="shared" si="6"/>
        <v/>
      </c>
      <c r="B104" s="246" t="str">
        <f t="shared" si="9"/>
        <v/>
      </c>
      <c r="C104" s="252" t="str">
        <f t="shared" si="5"/>
        <v/>
      </c>
      <c r="D104" s="243" t="str">
        <f t="shared" si="7"/>
        <v/>
      </c>
      <c r="E104" s="244" t="str">
        <f t="shared" si="8"/>
        <v/>
      </c>
      <c r="F104" s="249"/>
      <c r="G104" s="249"/>
      <c r="H104" s="249"/>
      <c r="I104" s="230">
        <v>100</v>
      </c>
      <c r="J104" s="230" t="str">
        <f>_xlfn.XLOOKUP(I104,'Order Page'!W$24:W$393,'Order Page'!C$24:C$393,"")</f>
        <v/>
      </c>
      <c r="K104" s="230" t="str">
        <f>_xlfn.XLOOKUP(I104,'Order Page'!W$24:W$393,'Order Page'!U$24:U$393,"")</f>
        <v/>
      </c>
      <c r="L104" s="230" t="str">
        <f>_xlfn.XLOOKUP(I104,'Order Page'!W$24:W$393,'Order Page'!S$24:S$393,"")</f>
        <v/>
      </c>
      <c r="M104" s="230" t="str">
        <f>_xlfn.XLOOKUP(I104,'Order Page'!W$24:W$393,'Order Page'!B$24:B$393,"")</f>
        <v/>
      </c>
      <c r="N104" s="230" t="str">
        <f>_xlfn.XLOOKUP(I104,'Order Page'!W$24:W$393,'Order Page'!F$24:F$393,"")</f>
        <v/>
      </c>
      <c r="O104" s="249"/>
      <c r="P104" s="249"/>
      <c r="Q104" s="249"/>
    </row>
    <row r="105" spans="1:17" x14ac:dyDescent="0.15">
      <c r="A105" s="241" t="str">
        <f t="shared" si="6"/>
        <v/>
      </c>
      <c r="B105" s="246" t="str">
        <f t="shared" si="9"/>
        <v/>
      </c>
      <c r="C105" s="252" t="str">
        <f t="shared" si="5"/>
        <v/>
      </c>
      <c r="D105" s="243" t="str">
        <f t="shared" si="7"/>
        <v/>
      </c>
      <c r="E105" s="244" t="str">
        <f t="shared" si="8"/>
        <v/>
      </c>
      <c r="F105" s="249"/>
      <c r="G105" s="249"/>
      <c r="H105" s="249"/>
      <c r="I105" s="230">
        <v>101</v>
      </c>
      <c r="J105" s="230" t="str">
        <f>_xlfn.XLOOKUP(I105,'Order Page'!W$24:W$393,'Order Page'!C$24:C$393,"")</f>
        <v/>
      </c>
      <c r="K105" s="230" t="str">
        <f>_xlfn.XLOOKUP(I105,'Order Page'!W$24:W$393,'Order Page'!U$24:U$393,"")</f>
        <v/>
      </c>
      <c r="L105" s="230" t="str">
        <f>_xlfn.XLOOKUP(I105,'Order Page'!W$24:W$393,'Order Page'!S$24:S$393,"")</f>
        <v/>
      </c>
      <c r="M105" s="230" t="str">
        <f>_xlfn.XLOOKUP(I105,'Order Page'!W$24:W$393,'Order Page'!B$24:B$393,"")</f>
        <v/>
      </c>
      <c r="N105" s="230" t="str">
        <f>_xlfn.XLOOKUP(I105,'Order Page'!W$24:W$393,'Order Page'!F$24:F$393,"")</f>
        <v/>
      </c>
      <c r="O105" s="249"/>
      <c r="P105" s="249"/>
      <c r="Q105" s="249"/>
    </row>
    <row r="106" spans="1:17" x14ac:dyDescent="0.15">
      <c r="A106" s="241" t="str">
        <f t="shared" si="6"/>
        <v/>
      </c>
      <c r="B106" s="246" t="str">
        <f t="shared" si="9"/>
        <v/>
      </c>
      <c r="C106" s="252" t="str">
        <f t="shared" si="5"/>
        <v/>
      </c>
      <c r="D106" s="243" t="str">
        <f t="shared" si="7"/>
        <v/>
      </c>
      <c r="E106" s="244" t="str">
        <f t="shared" si="8"/>
        <v/>
      </c>
      <c r="F106" s="249"/>
      <c r="G106" s="249"/>
      <c r="H106" s="249"/>
      <c r="I106" s="230">
        <v>102</v>
      </c>
      <c r="J106" s="230" t="str">
        <f>_xlfn.XLOOKUP(I106,'Order Page'!W$24:W$393,'Order Page'!C$24:C$393,"")</f>
        <v/>
      </c>
      <c r="K106" s="230" t="str">
        <f>_xlfn.XLOOKUP(I106,'Order Page'!W$24:W$393,'Order Page'!U$24:U$393,"")</f>
        <v/>
      </c>
      <c r="L106" s="230" t="str">
        <f>_xlfn.XLOOKUP(I106,'Order Page'!W$24:W$393,'Order Page'!S$24:S$393,"")</f>
        <v/>
      </c>
      <c r="M106" s="230" t="str">
        <f>_xlfn.XLOOKUP(I106,'Order Page'!W$24:W$393,'Order Page'!B$24:B$393,"")</f>
        <v/>
      </c>
      <c r="N106" s="230" t="str">
        <f>_xlfn.XLOOKUP(I106,'Order Page'!W$24:W$393,'Order Page'!F$24:F$393,"")</f>
        <v/>
      </c>
      <c r="O106" s="249"/>
      <c r="P106" s="249"/>
      <c r="Q106" s="249"/>
    </row>
    <row r="107" spans="1:17" x14ac:dyDescent="0.15">
      <c r="A107" s="241" t="str">
        <f t="shared" si="6"/>
        <v/>
      </c>
      <c r="B107" s="246" t="str">
        <f t="shared" si="9"/>
        <v/>
      </c>
      <c r="C107" s="252" t="str">
        <f t="shared" si="5"/>
        <v/>
      </c>
      <c r="D107" s="243" t="str">
        <f t="shared" si="7"/>
        <v/>
      </c>
      <c r="E107" s="244" t="str">
        <f t="shared" si="8"/>
        <v/>
      </c>
      <c r="F107" s="249"/>
      <c r="G107" s="249"/>
      <c r="H107" s="249"/>
      <c r="I107" s="230">
        <v>103</v>
      </c>
      <c r="J107" s="230" t="str">
        <f>_xlfn.XLOOKUP(I107,'Order Page'!W$24:W$393,'Order Page'!C$24:C$393,"")</f>
        <v/>
      </c>
      <c r="K107" s="230" t="str">
        <f>_xlfn.XLOOKUP(I107,'Order Page'!W$24:W$393,'Order Page'!U$24:U$393,"")</f>
        <v/>
      </c>
      <c r="L107" s="230" t="str">
        <f>_xlfn.XLOOKUP(I107,'Order Page'!W$24:W$393,'Order Page'!S$24:S$393,"")</f>
        <v/>
      </c>
      <c r="M107" s="230" t="str">
        <f>_xlfn.XLOOKUP(I107,'Order Page'!W$24:W$393,'Order Page'!B$24:B$393,"")</f>
        <v/>
      </c>
      <c r="N107" s="230" t="str">
        <f>_xlfn.XLOOKUP(I107,'Order Page'!W$24:W$393,'Order Page'!F$24:F$393,"")</f>
        <v/>
      </c>
      <c r="O107" s="249"/>
      <c r="P107" s="249"/>
      <c r="Q107" s="249"/>
    </row>
    <row r="108" spans="1:17" x14ac:dyDescent="0.15">
      <c r="A108" s="241" t="str">
        <f t="shared" si="6"/>
        <v/>
      </c>
      <c r="B108" s="246" t="str">
        <f t="shared" si="9"/>
        <v/>
      </c>
      <c r="C108" s="252" t="str">
        <f t="shared" si="5"/>
        <v/>
      </c>
      <c r="D108" s="243" t="str">
        <f t="shared" si="7"/>
        <v/>
      </c>
      <c r="E108" s="244" t="str">
        <f t="shared" si="8"/>
        <v/>
      </c>
      <c r="F108" s="249"/>
      <c r="G108" s="249"/>
      <c r="H108" s="249"/>
      <c r="I108" s="230">
        <v>104</v>
      </c>
      <c r="J108" s="230" t="str">
        <f>_xlfn.XLOOKUP(I108,'Order Page'!W$24:W$393,'Order Page'!C$24:C$393,"")</f>
        <v/>
      </c>
      <c r="K108" s="230" t="str">
        <f>_xlfn.XLOOKUP(I108,'Order Page'!W$24:W$393,'Order Page'!U$24:U$393,"")</f>
        <v/>
      </c>
      <c r="L108" s="230" t="str">
        <f>_xlfn.XLOOKUP(I108,'Order Page'!W$24:W$393,'Order Page'!S$24:S$393,"")</f>
        <v/>
      </c>
      <c r="M108" s="230" t="str">
        <f>_xlfn.XLOOKUP(I108,'Order Page'!W$24:W$393,'Order Page'!B$24:B$393,"")</f>
        <v/>
      </c>
      <c r="N108" s="230" t="str">
        <f>_xlfn.XLOOKUP(I108,'Order Page'!W$24:W$393,'Order Page'!F$24:F$393,"")</f>
        <v/>
      </c>
      <c r="O108" s="249"/>
      <c r="P108" s="249"/>
      <c r="Q108" s="249"/>
    </row>
    <row r="109" spans="1:17" x14ac:dyDescent="0.15">
      <c r="A109" s="241" t="str">
        <f t="shared" si="6"/>
        <v/>
      </c>
      <c r="B109" s="246" t="str">
        <f t="shared" si="9"/>
        <v/>
      </c>
      <c r="C109" s="252" t="str">
        <f t="shared" si="5"/>
        <v/>
      </c>
      <c r="D109" s="243" t="str">
        <f t="shared" si="7"/>
        <v/>
      </c>
      <c r="E109" s="244" t="str">
        <f t="shared" si="8"/>
        <v/>
      </c>
      <c r="F109" s="249"/>
      <c r="G109" s="249"/>
      <c r="H109" s="249"/>
      <c r="I109" s="230">
        <v>105</v>
      </c>
      <c r="J109" s="230" t="str">
        <f>_xlfn.XLOOKUP(I109,'Order Page'!W$24:W$393,'Order Page'!C$24:C$393,"")</f>
        <v/>
      </c>
      <c r="K109" s="230" t="str">
        <f>_xlfn.XLOOKUP(I109,'Order Page'!W$24:W$393,'Order Page'!U$24:U$393,"")</f>
        <v/>
      </c>
      <c r="L109" s="230" t="str">
        <f>_xlfn.XLOOKUP(I109,'Order Page'!W$24:W$393,'Order Page'!S$24:S$393,"")</f>
        <v/>
      </c>
      <c r="M109" s="230" t="str">
        <f>_xlfn.XLOOKUP(I109,'Order Page'!W$24:W$393,'Order Page'!B$24:B$393,"")</f>
        <v/>
      </c>
      <c r="N109" s="230" t="str">
        <f>_xlfn.XLOOKUP(I109,'Order Page'!W$24:W$393,'Order Page'!F$24:F$393,"")</f>
        <v/>
      </c>
      <c r="O109" s="249"/>
      <c r="P109" s="249"/>
      <c r="Q109" s="249"/>
    </row>
    <row r="110" spans="1:17" x14ac:dyDescent="0.15">
      <c r="A110" s="241" t="str">
        <f t="shared" si="6"/>
        <v/>
      </c>
      <c r="B110" s="246" t="str">
        <f t="shared" si="9"/>
        <v/>
      </c>
      <c r="C110" s="252" t="str">
        <f t="shared" si="5"/>
        <v/>
      </c>
      <c r="D110" s="243" t="str">
        <f t="shared" si="7"/>
        <v/>
      </c>
      <c r="E110" s="244" t="str">
        <f t="shared" si="8"/>
        <v/>
      </c>
      <c r="F110" s="249"/>
      <c r="G110" s="249"/>
      <c r="H110" s="249"/>
      <c r="I110" s="230">
        <v>106</v>
      </c>
      <c r="J110" s="230" t="str">
        <f>_xlfn.XLOOKUP(I110,'Order Page'!W$24:W$393,'Order Page'!C$24:C$393,"")</f>
        <v/>
      </c>
      <c r="K110" s="230" t="str">
        <f>_xlfn.XLOOKUP(I110,'Order Page'!W$24:W$393,'Order Page'!U$24:U$393,"")</f>
        <v/>
      </c>
      <c r="L110" s="230" t="str">
        <f>_xlfn.XLOOKUP(I110,'Order Page'!W$24:W$393,'Order Page'!S$24:S$393,"")</f>
        <v/>
      </c>
      <c r="M110" s="230" t="str">
        <f>_xlfn.XLOOKUP(I110,'Order Page'!W$24:W$393,'Order Page'!B$24:B$393,"")</f>
        <v/>
      </c>
      <c r="N110" s="230" t="str">
        <f>_xlfn.XLOOKUP(I110,'Order Page'!W$24:W$393,'Order Page'!F$24:F$393,"")</f>
        <v/>
      </c>
      <c r="O110" s="249"/>
      <c r="P110" s="249"/>
      <c r="Q110" s="249"/>
    </row>
    <row r="111" spans="1:17" x14ac:dyDescent="0.15">
      <c r="A111" s="241" t="str">
        <f t="shared" si="6"/>
        <v/>
      </c>
      <c r="B111" s="246" t="str">
        <f t="shared" si="9"/>
        <v/>
      </c>
      <c r="C111" s="252" t="str">
        <f t="shared" si="5"/>
        <v/>
      </c>
      <c r="D111" s="243" t="str">
        <f t="shared" si="7"/>
        <v/>
      </c>
      <c r="E111" s="244" t="str">
        <f t="shared" si="8"/>
        <v/>
      </c>
      <c r="F111" s="249"/>
      <c r="G111" s="249"/>
      <c r="H111" s="249"/>
      <c r="I111" s="230">
        <v>107</v>
      </c>
      <c r="J111" s="230" t="str">
        <f>_xlfn.XLOOKUP(I111,'Order Page'!W$24:W$393,'Order Page'!C$24:C$393,"")</f>
        <v/>
      </c>
      <c r="K111" s="230" t="str">
        <f>_xlfn.XLOOKUP(I111,'Order Page'!W$24:W$393,'Order Page'!U$24:U$393,"")</f>
        <v/>
      </c>
      <c r="L111" s="230" t="str">
        <f>_xlfn.XLOOKUP(I111,'Order Page'!W$24:W$393,'Order Page'!S$24:S$393,"")</f>
        <v/>
      </c>
      <c r="M111" s="230" t="str">
        <f>_xlfn.XLOOKUP(I111,'Order Page'!W$24:W$393,'Order Page'!B$24:B$393,"")</f>
        <v/>
      </c>
      <c r="N111" s="230" t="str">
        <f>_xlfn.XLOOKUP(I111,'Order Page'!W$24:W$393,'Order Page'!F$24:F$393,"")</f>
        <v/>
      </c>
      <c r="O111" s="249"/>
      <c r="P111" s="249"/>
      <c r="Q111" s="249"/>
    </row>
    <row r="112" spans="1:17" x14ac:dyDescent="0.15">
      <c r="A112" s="241" t="str">
        <f t="shared" si="6"/>
        <v/>
      </c>
      <c r="B112" s="246" t="str">
        <f t="shared" si="9"/>
        <v/>
      </c>
      <c r="C112" s="252" t="str">
        <f t="shared" si="5"/>
        <v/>
      </c>
      <c r="D112" s="243" t="str">
        <f t="shared" si="7"/>
        <v/>
      </c>
      <c r="E112" s="244" t="str">
        <f t="shared" si="8"/>
        <v/>
      </c>
      <c r="F112" s="249"/>
      <c r="G112" s="249"/>
      <c r="H112" s="249"/>
      <c r="I112" s="230">
        <v>108</v>
      </c>
      <c r="J112" s="230" t="str">
        <f>_xlfn.XLOOKUP(I112,'Order Page'!W$24:W$393,'Order Page'!C$24:C$393,"")</f>
        <v/>
      </c>
      <c r="K112" s="230" t="str">
        <f>_xlfn.XLOOKUP(I112,'Order Page'!W$24:W$393,'Order Page'!U$24:U$393,"")</f>
        <v/>
      </c>
      <c r="L112" s="230" t="str">
        <f>_xlfn.XLOOKUP(I112,'Order Page'!W$24:W$393,'Order Page'!S$24:S$393,"")</f>
        <v/>
      </c>
      <c r="M112" s="230" t="str">
        <f>_xlfn.XLOOKUP(I112,'Order Page'!W$24:W$393,'Order Page'!B$24:B$393,"")</f>
        <v/>
      </c>
      <c r="N112" s="230" t="str">
        <f>_xlfn.XLOOKUP(I112,'Order Page'!W$24:W$393,'Order Page'!F$24:F$393,"")</f>
        <v/>
      </c>
      <c r="O112" s="249"/>
      <c r="P112" s="249"/>
      <c r="Q112" s="249"/>
    </row>
    <row r="113" spans="1:17" x14ac:dyDescent="0.15">
      <c r="A113" s="241" t="str">
        <f t="shared" si="6"/>
        <v/>
      </c>
      <c r="B113" s="246" t="str">
        <f t="shared" si="9"/>
        <v/>
      </c>
      <c r="C113" s="252" t="str">
        <f t="shared" si="5"/>
        <v/>
      </c>
      <c r="D113" s="243" t="str">
        <f t="shared" si="7"/>
        <v/>
      </c>
      <c r="E113" s="244" t="str">
        <f t="shared" si="8"/>
        <v/>
      </c>
      <c r="F113" s="249"/>
      <c r="G113" s="249"/>
      <c r="H113" s="249"/>
      <c r="I113" s="230">
        <v>109</v>
      </c>
      <c r="J113" s="230" t="str">
        <f>_xlfn.XLOOKUP(I113,'Order Page'!W$24:W$393,'Order Page'!C$24:C$393,"")</f>
        <v/>
      </c>
      <c r="K113" s="230" t="str">
        <f>_xlfn.XLOOKUP(I113,'Order Page'!W$24:W$393,'Order Page'!U$24:U$393,"")</f>
        <v/>
      </c>
      <c r="L113" s="230" t="str">
        <f>_xlfn.XLOOKUP(I113,'Order Page'!W$24:W$393,'Order Page'!S$24:S$393,"")</f>
        <v/>
      </c>
      <c r="M113" s="230" t="str">
        <f>_xlfn.XLOOKUP(I113,'Order Page'!W$24:W$393,'Order Page'!B$24:B$393,"")</f>
        <v/>
      </c>
      <c r="N113" s="230" t="str">
        <f>_xlfn.XLOOKUP(I113,'Order Page'!W$24:W$393,'Order Page'!F$24:F$393,"")</f>
        <v/>
      </c>
      <c r="O113" s="249"/>
      <c r="P113" s="249"/>
      <c r="Q113" s="249"/>
    </row>
    <row r="114" spans="1:17" x14ac:dyDescent="0.15">
      <c r="A114" s="241" t="str">
        <f t="shared" si="6"/>
        <v/>
      </c>
      <c r="B114" s="246" t="str">
        <f t="shared" si="9"/>
        <v/>
      </c>
      <c r="C114" s="252" t="str">
        <f t="shared" si="5"/>
        <v/>
      </c>
      <c r="D114" s="243" t="str">
        <f t="shared" si="7"/>
        <v/>
      </c>
      <c r="E114" s="244" t="str">
        <f t="shared" si="8"/>
        <v/>
      </c>
      <c r="F114" s="249"/>
      <c r="G114" s="249"/>
      <c r="H114" s="249"/>
      <c r="I114" s="230">
        <v>110</v>
      </c>
      <c r="J114" s="230" t="str">
        <f>_xlfn.XLOOKUP(I114,'Order Page'!W$24:W$393,'Order Page'!C$24:C$393,"")</f>
        <v/>
      </c>
      <c r="K114" s="230" t="str">
        <f>_xlfn.XLOOKUP(I114,'Order Page'!W$24:W$393,'Order Page'!U$24:U$393,"")</f>
        <v/>
      </c>
      <c r="L114" s="230" t="str">
        <f>_xlfn.XLOOKUP(I114,'Order Page'!W$24:W$393,'Order Page'!S$24:S$393,"")</f>
        <v/>
      </c>
      <c r="M114" s="230" t="str">
        <f>_xlfn.XLOOKUP(I114,'Order Page'!W$24:W$393,'Order Page'!B$24:B$393,"")</f>
        <v/>
      </c>
      <c r="N114" s="230" t="str">
        <f>_xlfn.XLOOKUP(I114,'Order Page'!W$24:W$393,'Order Page'!F$24:F$393,"")</f>
        <v/>
      </c>
      <c r="O114" s="249"/>
      <c r="P114" s="249"/>
      <c r="Q114" s="249"/>
    </row>
    <row r="115" spans="1:17" x14ac:dyDescent="0.15">
      <c r="A115" s="241" t="str">
        <f t="shared" si="6"/>
        <v/>
      </c>
      <c r="B115" s="246" t="str">
        <f t="shared" si="9"/>
        <v/>
      </c>
      <c r="C115" s="252" t="str">
        <f t="shared" si="5"/>
        <v/>
      </c>
      <c r="D115" s="243" t="str">
        <f t="shared" si="7"/>
        <v/>
      </c>
      <c r="E115" s="244" t="str">
        <f t="shared" si="8"/>
        <v/>
      </c>
      <c r="F115" s="249"/>
      <c r="G115" s="249"/>
      <c r="H115" s="249"/>
      <c r="I115" s="230">
        <v>111</v>
      </c>
      <c r="J115" s="230" t="str">
        <f>_xlfn.XLOOKUP(I115,'Order Page'!W$24:W$393,'Order Page'!C$24:C$393,"")</f>
        <v/>
      </c>
      <c r="K115" s="230" t="str">
        <f>_xlfn.XLOOKUP(I115,'Order Page'!W$24:W$393,'Order Page'!U$24:U$393,"")</f>
        <v/>
      </c>
      <c r="L115" s="230" t="str">
        <f>_xlfn.XLOOKUP(I115,'Order Page'!W$24:W$393,'Order Page'!S$24:S$393,"")</f>
        <v/>
      </c>
      <c r="M115" s="230" t="str">
        <f>_xlfn.XLOOKUP(I115,'Order Page'!W$24:W$393,'Order Page'!B$24:B$393,"")</f>
        <v/>
      </c>
      <c r="N115" s="230" t="str">
        <f>_xlfn.XLOOKUP(I115,'Order Page'!W$24:W$393,'Order Page'!F$24:F$393,"")</f>
        <v/>
      </c>
      <c r="O115" s="249"/>
      <c r="P115" s="249"/>
      <c r="Q115" s="249"/>
    </row>
    <row r="116" spans="1:17" x14ac:dyDescent="0.15">
      <c r="A116" s="241" t="str">
        <f t="shared" si="6"/>
        <v/>
      </c>
      <c r="B116" s="246" t="str">
        <f t="shared" si="9"/>
        <v/>
      </c>
      <c r="C116" s="252" t="str">
        <f t="shared" si="5"/>
        <v/>
      </c>
      <c r="D116" s="243" t="str">
        <f t="shared" si="7"/>
        <v/>
      </c>
      <c r="E116" s="244" t="str">
        <f t="shared" si="8"/>
        <v/>
      </c>
      <c r="F116" s="249"/>
      <c r="G116" s="249"/>
      <c r="H116" s="249"/>
      <c r="I116" s="230">
        <v>112</v>
      </c>
      <c r="J116" s="230" t="str">
        <f>_xlfn.XLOOKUP(I116,'Order Page'!W$24:W$393,'Order Page'!C$24:C$393,"")</f>
        <v/>
      </c>
      <c r="K116" s="230" t="str">
        <f>_xlfn.XLOOKUP(I116,'Order Page'!W$24:W$393,'Order Page'!U$24:U$393,"")</f>
        <v/>
      </c>
      <c r="L116" s="230" t="str">
        <f>_xlfn.XLOOKUP(I116,'Order Page'!W$24:W$393,'Order Page'!S$24:S$393,"")</f>
        <v/>
      </c>
      <c r="M116" s="230" t="str">
        <f>_xlfn.XLOOKUP(I116,'Order Page'!W$24:W$393,'Order Page'!B$24:B$393,"")</f>
        <v/>
      </c>
      <c r="N116" s="230" t="str">
        <f>_xlfn.XLOOKUP(I116,'Order Page'!W$24:W$393,'Order Page'!F$24:F$393,"")</f>
        <v/>
      </c>
      <c r="O116" s="249"/>
      <c r="P116" s="249"/>
      <c r="Q116" s="249"/>
    </row>
    <row r="117" spans="1:17" x14ac:dyDescent="0.15">
      <c r="A117" s="241" t="str">
        <f t="shared" si="6"/>
        <v/>
      </c>
      <c r="B117" s="246" t="str">
        <f t="shared" si="9"/>
        <v/>
      </c>
      <c r="C117" s="252" t="str">
        <f t="shared" si="5"/>
        <v/>
      </c>
      <c r="D117" s="243" t="str">
        <f t="shared" si="7"/>
        <v/>
      </c>
      <c r="E117" s="244" t="str">
        <f t="shared" si="8"/>
        <v/>
      </c>
      <c r="F117" s="249"/>
      <c r="G117" s="249"/>
      <c r="H117" s="249"/>
      <c r="I117" s="230">
        <v>113</v>
      </c>
      <c r="J117" s="230" t="str">
        <f>_xlfn.XLOOKUP(I117,'Order Page'!W$24:W$393,'Order Page'!C$24:C$393,"")</f>
        <v/>
      </c>
      <c r="K117" s="230" t="str">
        <f>_xlfn.XLOOKUP(I117,'Order Page'!W$24:W$393,'Order Page'!U$24:U$393,"")</f>
        <v/>
      </c>
      <c r="L117" s="230" t="str">
        <f>_xlfn.XLOOKUP(I117,'Order Page'!W$24:W$393,'Order Page'!S$24:S$393,"")</f>
        <v/>
      </c>
      <c r="M117" s="230" t="str">
        <f>_xlfn.XLOOKUP(I117,'Order Page'!W$24:W$393,'Order Page'!B$24:B$393,"")</f>
        <v/>
      </c>
      <c r="N117" s="230" t="str">
        <f>_xlfn.XLOOKUP(I117,'Order Page'!W$24:W$393,'Order Page'!F$24:F$393,"")</f>
        <v/>
      </c>
      <c r="O117" s="249"/>
      <c r="P117" s="249"/>
      <c r="Q117" s="249"/>
    </row>
    <row r="118" spans="1:17" x14ac:dyDescent="0.15">
      <c r="A118" s="241" t="str">
        <f t="shared" si="6"/>
        <v/>
      </c>
      <c r="B118" s="246" t="str">
        <f t="shared" si="9"/>
        <v/>
      </c>
      <c r="C118" s="252" t="str">
        <f t="shared" si="5"/>
        <v/>
      </c>
      <c r="D118" s="243" t="str">
        <f t="shared" si="7"/>
        <v/>
      </c>
      <c r="E118" s="244" t="str">
        <f t="shared" si="8"/>
        <v/>
      </c>
      <c r="F118" s="249"/>
      <c r="G118" s="249"/>
      <c r="H118" s="249"/>
      <c r="I118" s="230">
        <v>114</v>
      </c>
      <c r="J118" s="230" t="str">
        <f>_xlfn.XLOOKUP(I118,'Order Page'!W$24:W$393,'Order Page'!C$24:C$393,"")</f>
        <v/>
      </c>
      <c r="K118" s="230" t="str">
        <f>_xlfn.XLOOKUP(I118,'Order Page'!W$24:W$393,'Order Page'!U$24:U$393,"")</f>
        <v/>
      </c>
      <c r="L118" s="230" t="str">
        <f>_xlfn.XLOOKUP(I118,'Order Page'!W$24:W$393,'Order Page'!S$24:S$393,"")</f>
        <v/>
      </c>
      <c r="M118" s="230" t="str">
        <f>_xlfn.XLOOKUP(I118,'Order Page'!W$24:W$393,'Order Page'!B$24:B$393,"")</f>
        <v/>
      </c>
      <c r="N118" s="230" t="str">
        <f>_xlfn.XLOOKUP(I118,'Order Page'!W$24:W$393,'Order Page'!F$24:F$393,"")</f>
        <v/>
      </c>
      <c r="O118" s="249"/>
      <c r="P118" s="249"/>
      <c r="Q118" s="249"/>
    </row>
    <row r="119" spans="1:17" x14ac:dyDescent="0.15">
      <c r="A119" s="241" t="str">
        <f t="shared" si="6"/>
        <v/>
      </c>
      <c r="B119" s="246" t="str">
        <f t="shared" si="9"/>
        <v/>
      </c>
      <c r="C119" s="252" t="str">
        <f t="shared" si="5"/>
        <v/>
      </c>
      <c r="D119" s="243" t="str">
        <f t="shared" si="7"/>
        <v/>
      </c>
      <c r="E119" s="244" t="str">
        <f t="shared" si="8"/>
        <v/>
      </c>
      <c r="F119" s="249"/>
      <c r="G119" s="249"/>
      <c r="H119" s="249"/>
      <c r="I119" s="230">
        <v>115</v>
      </c>
      <c r="J119" s="230" t="str">
        <f>_xlfn.XLOOKUP(I119,'Order Page'!W$24:W$393,'Order Page'!C$24:C$393,"")</f>
        <v/>
      </c>
      <c r="K119" s="230" t="str">
        <f>_xlfn.XLOOKUP(I119,'Order Page'!W$24:W$393,'Order Page'!U$24:U$393,"")</f>
        <v/>
      </c>
      <c r="L119" s="230" t="str">
        <f>_xlfn.XLOOKUP(I119,'Order Page'!W$24:W$393,'Order Page'!S$24:S$393,"")</f>
        <v/>
      </c>
      <c r="M119" s="230" t="str">
        <f>_xlfn.XLOOKUP(I119,'Order Page'!W$24:W$393,'Order Page'!B$24:B$393,"")</f>
        <v/>
      </c>
      <c r="N119" s="230" t="str">
        <f>_xlfn.XLOOKUP(I119,'Order Page'!W$24:W$393,'Order Page'!F$24:F$393,"")</f>
        <v/>
      </c>
      <c r="O119" s="249"/>
      <c r="P119" s="249"/>
      <c r="Q119" s="249"/>
    </row>
    <row r="120" spans="1:17" x14ac:dyDescent="0.15">
      <c r="A120" s="241" t="str">
        <f t="shared" si="6"/>
        <v/>
      </c>
      <c r="B120" s="246" t="str">
        <f t="shared" si="9"/>
        <v/>
      </c>
      <c r="C120" s="252" t="str">
        <f t="shared" si="5"/>
        <v/>
      </c>
      <c r="D120" s="243" t="str">
        <f t="shared" si="7"/>
        <v/>
      </c>
      <c r="E120" s="244" t="str">
        <f t="shared" si="8"/>
        <v/>
      </c>
      <c r="F120" s="249"/>
      <c r="G120" s="249"/>
      <c r="H120" s="249"/>
      <c r="I120" s="230">
        <v>116</v>
      </c>
      <c r="J120" s="230" t="str">
        <f>_xlfn.XLOOKUP(I120,'Order Page'!W$24:W$393,'Order Page'!C$24:C$393,"")</f>
        <v/>
      </c>
      <c r="K120" s="230" t="str">
        <f>_xlfn.XLOOKUP(I120,'Order Page'!W$24:W$393,'Order Page'!U$24:U$393,"")</f>
        <v/>
      </c>
      <c r="L120" s="230" t="str">
        <f>_xlfn.XLOOKUP(I120,'Order Page'!W$24:W$393,'Order Page'!S$24:S$393,"")</f>
        <v/>
      </c>
      <c r="M120" s="230" t="str">
        <f>_xlfn.XLOOKUP(I120,'Order Page'!W$24:W$393,'Order Page'!B$24:B$393,"")</f>
        <v/>
      </c>
      <c r="N120" s="230" t="str">
        <f>_xlfn.XLOOKUP(I120,'Order Page'!W$24:W$393,'Order Page'!F$24:F$393,"")</f>
        <v/>
      </c>
      <c r="O120" s="249"/>
      <c r="P120" s="249"/>
      <c r="Q120" s="249"/>
    </row>
    <row r="121" spans="1:17" x14ac:dyDescent="0.15">
      <c r="A121" s="241" t="str">
        <f t="shared" si="6"/>
        <v/>
      </c>
      <c r="B121" s="246" t="str">
        <f t="shared" si="9"/>
        <v/>
      </c>
      <c r="C121" s="252" t="str">
        <f t="shared" si="5"/>
        <v/>
      </c>
      <c r="D121" s="243" t="str">
        <f t="shared" si="7"/>
        <v/>
      </c>
      <c r="E121" s="244" t="str">
        <f t="shared" si="8"/>
        <v/>
      </c>
      <c r="F121" s="249"/>
      <c r="G121" s="249"/>
      <c r="H121" s="249"/>
      <c r="I121" s="230">
        <v>117</v>
      </c>
      <c r="J121" s="230" t="str">
        <f>_xlfn.XLOOKUP(I121,'Order Page'!W$24:W$393,'Order Page'!C$24:C$393,"")</f>
        <v/>
      </c>
      <c r="K121" s="230" t="str">
        <f>_xlfn.XLOOKUP(I121,'Order Page'!W$24:W$393,'Order Page'!U$24:U$393,"")</f>
        <v/>
      </c>
      <c r="L121" s="230" t="str">
        <f>_xlfn.XLOOKUP(I121,'Order Page'!W$24:W$393,'Order Page'!S$24:S$393,"")</f>
        <v/>
      </c>
      <c r="M121" s="230" t="str">
        <f>_xlfn.XLOOKUP(I121,'Order Page'!W$24:W$393,'Order Page'!B$24:B$393,"")</f>
        <v/>
      </c>
      <c r="N121" s="230" t="str">
        <f>_xlfn.XLOOKUP(I121,'Order Page'!W$24:W$393,'Order Page'!F$24:F$393,"")</f>
        <v/>
      </c>
      <c r="O121" s="249"/>
      <c r="P121" s="249"/>
      <c r="Q121" s="249"/>
    </row>
    <row r="122" spans="1:17" x14ac:dyDescent="0.15">
      <c r="A122" s="241" t="str">
        <f t="shared" si="6"/>
        <v/>
      </c>
      <c r="B122" s="246" t="str">
        <f t="shared" si="9"/>
        <v/>
      </c>
      <c r="C122" s="252" t="str">
        <f t="shared" si="5"/>
        <v/>
      </c>
      <c r="D122" s="243" t="str">
        <f t="shared" si="7"/>
        <v/>
      </c>
      <c r="E122" s="244" t="str">
        <f t="shared" si="8"/>
        <v/>
      </c>
      <c r="F122" s="249"/>
      <c r="G122" s="249"/>
      <c r="H122" s="249"/>
      <c r="I122" s="230">
        <v>118</v>
      </c>
      <c r="J122" s="230" t="str">
        <f>_xlfn.XLOOKUP(I122,'Order Page'!W$24:W$393,'Order Page'!C$24:C$393,"")</f>
        <v/>
      </c>
      <c r="K122" s="230" t="str">
        <f>_xlfn.XLOOKUP(I122,'Order Page'!W$24:W$393,'Order Page'!U$24:U$393,"")</f>
        <v/>
      </c>
      <c r="L122" s="230" t="str">
        <f>_xlfn.XLOOKUP(I122,'Order Page'!W$24:W$393,'Order Page'!S$24:S$393,"")</f>
        <v/>
      </c>
      <c r="M122" s="230" t="str">
        <f>_xlfn.XLOOKUP(I122,'Order Page'!W$24:W$393,'Order Page'!B$24:B$393,"")</f>
        <v/>
      </c>
      <c r="N122" s="230" t="str">
        <f>_xlfn.XLOOKUP(I122,'Order Page'!W$24:W$393,'Order Page'!F$24:F$393,"")</f>
        <v/>
      </c>
      <c r="O122" s="249"/>
      <c r="P122" s="249"/>
      <c r="Q122" s="249"/>
    </row>
    <row r="123" spans="1:17" x14ac:dyDescent="0.15">
      <c r="A123" s="241" t="str">
        <f t="shared" si="6"/>
        <v/>
      </c>
      <c r="B123" s="246" t="str">
        <f t="shared" si="9"/>
        <v/>
      </c>
      <c r="C123" s="252" t="str">
        <f t="shared" si="5"/>
        <v/>
      </c>
      <c r="D123" s="243" t="str">
        <f t="shared" si="7"/>
        <v/>
      </c>
      <c r="E123" s="244" t="str">
        <f t="shared" si="8"/>
        <v/>
      </c>
      <c r="F123" s="249"/>
      <c r="G123" s="249"/>
      <c r="H123" s="249"/>
      <c r="I123" s="230">
        <v>119</v>
      </c>
      <c r="J123" s="230" t="str">
        <f>_xlfn.XLOOKUP(I123,'Order Page'!W$24:W$393,'Order Page'!C$24:C$393,"")</f>
        <v/>
      </c>
      <c r="K123" s="230" t="str">
        <f>_xlfn.XLOOKUP(I123,'Order Page'!W$24:W$393,'Order Page'!U$24:U$393,"")</f>
        <v/>
      </c>
      <c r="L123" s="230" t="str">
        <f>_xlfn.XLOOKUP(I123,'Order Page'!W$24:W$393,'Order Page'!S$24:S$393,"")</f>
        <v/>
      </c>
      <c r="M123" s="230" t="str">
        <f>_xlfn.XLOOKUP(I123,'Order Page'!W$24:W$393,'Order Page'!B$24:B$393,"")</f>
        <v/>
      </c>
      <c r="N123" s="230" t="str">
        <f>_xlfn.XLOOKUP(I123,'Order Page'!W$24:W$393,'Order Page'!F$24:F$393,"")</f>
        <v/>
      </c>
      <c r="O123" s="249"/>
      <c r="P123" s="249"/>
      <c r="Q123" s="249"/>
    </row>
    <row r="124" spans="1:17" x14ac:dyDescent="0.15">
      <c r="A124" s="241" t="str">
        <f t="shared" si="6"/>
        <v/>
      </c>
      <c r="B124" s="246" t="str">
        <f t="shared" si="9"/>
        <v/>
      </c>
      <c r="C124" s="252" t="str">
        <f t="shared" si="5"/>
        <v/>
      </c>
      <c r="D124" s="243" t="str">
        <f t="shared" si="7"/>
        <v/>
      </c>
      <c r="E124" s="244" t="str">
        <f t="shared" si="8"/>
        <v/>
      </c>
      <c r="F124" s="249"/>
      <c r="G124" s="249"/>
      <c r="H124" s="249"/>
      <c r="I124" s="230">
        <v>120</v>
      </c>
      <c r="J124" s="230" t="str">
        <f>_xlfn.XLOOKUP(I124,'Order Page'!W$24:W$393,'Order Page'!C$24:C$393,"")</f>
        <v/>
      </c>
      <c r="K124" s="230" t="str">
        <f>_xlfn.XLOOKUP(I124,'Order Page'!W$24:W$393,'Order Page'!U$24:U$393,"")</f>
        <v/>
      </c>
      <c r="L124" s="230" t="str">
        <f>_xlfn.XLOOKUP(I124,'Order Page'!W$24:W$393,'Order Page'!S$24:S$393,"")</f>
        <v/>
      </c>
      <c r="M124" s="230" t="str">
        <f>_xlfn.XLOOKUP(I124,'Order Page'!W$24:W$393,'Order Page'!B$24:B$393,"")</f>
        <v/>
      </c>
      <c r="N124" s="230" t="str">
        <f>_xlfn.XLOOKUP(I124,'Order Page'!W$24:W$393,'Order Page'!F$24:F$393,"")</f>
        <v/>
      </c>
      <c r="O124" s="249"/>
      <c r="P124" s="249"/>
      <c r="Q124" s="249"/>
    </row>
    <row r="125" spans="1:17" x14ac:dyDescent="0.15">
      <c r="A125" s="241" t="str">
        <f t="shared" si="6"/>
        <v/>
      </c>
      <c r="B125" s="246" t="str">
        <f t="shared" si="9"/>
        <v/>
      </c>
      <c r="C125" s="252" t="str">
        <f t="shared" si="5"/>
        <v/>
      </c>
      <c r="D125" s="243" t="str">
        <f t="shared" si="7"/>
        <v/>
      </c>
      <c r="E125" s="244" t="str">
        <f t="shared" si="8"/>
        <v/>
      </c>
      <c r="F125" s="249"/>
      <c r="G125" s="249"/>
      <c r="H125" s="249"/>
      <c r="I125" s="230">
        <v>121</v>
      </c>
      <c r="J125" s="230" t="str">
        <f>_xlfn.XLOOKUP(I125,'Order Page'!W$24:W$393,'Order Page'!C$24:C$393,"")</f>
        <v/>
      </c>
      <c r="K125" s="230" t="str">
        <f>_xlfn.XLOOKUP(I125,'Order Page'!W$24:W$393,'Order Page'!U$24:U$393,"")</f>
        <v/>
      </c>
      <c r="L125" s="230" t="str">
        <f>_xlfn.XLOOKUP(I125,'Order Page'!W$24:W$393,'Order Page'!S$24:S$393,"")</f>
        <v/>
      </c>
      <c r="M125" s="230" t="str">
        <f>_xlfn.XLOOKUP(I125,'Order Page'!W$24:W$393,'Order Page'!B$24:B$393,"")</f>
        <v/>
      </c>
      <c r="N125" s="230" t="str">
        <f>_xlfn.XLOOKUP(I125,'Order Page'!W$24:W$393,'Order Page'!F$24:F$393,"")</f>
        <v/>
      </c>
      <c r="O125" s="249"/>
      <c r="P125" s="249"/>
      <c r="Q125" s="249"/>
    </row>
    <row r="126" spans="1:17" x14ac:dyDescent="0.15">
      <c r="A126" s="241" t="str">
        <f t="shared" si="6"/>
        <v/>
      </c>
      <c r="B126" s="246" t="str">
        <f t="shared" si="9"/>
        <v/>
      </c>
      <c r="C126" s="252" t="str">
        <f t="shared" si="5"/>
        <v/>
      </c>
      <c r="D126" s="243" t="str">
        <f t="shared" si="7"/>
        <v/>
      </c>
      <c r="E126" s="244" t="str">
        <f t="shared" si="8"/>
        <v/>
      </c>
      <c r="F126" s="249"/>
      <c r="G126" s="249"/>
      <c r="H126" s="249"/>
      <c r="I126" s="230">
        <v>122</v>
      </c>
      <c r="J126" s="230" t="str">
        <f>_xlfn.XLOOKUP(I126,'Order Page'!W$24:W$393,'Order Page'!C$24:C$393,"")</f>
        <v/>
      </c>
      <c r="K126" s="230" t="str">
        <f>_xlfn.XLOOKUP(I126,'Order Page'!W$24:W$393,'Order Page'!U$24:U$393,"")</f>
        <v/>
      </c>
      <c r="L126" s="230" t="str">
        <f>_xlfn.XLOOKUP(I126,'Order Page'!W$24:W$393,'Order Page'!S$24:S$393,"")</f>
        <v/>
      </c>
      <c r="M126" s="230" t="str">
        <f>_xlfn.XLOOKUP(I126,'Order Page'!W$24:W$393,'Order Page'!B$24:B$393,"")</f>
        <v/>
      </c>
      <c r="N126" s="230" t="str">
        <f>_xlfn.XLOOKUP(I126,'Order Page'!W$24:W$393,'Order Page'!F$24:F$393,"")</f>
        <v/>
      </c>
      <c r="O126" s="249"/>
      <c r="P126" s="249"/>
      <c r="Q126" s="249"/>
    </row>
    <row r="127" spans="1:17" x14ac:dyDescent="0.15">
      <c r="A127" s="241" t="str">
        <f t="shared" si="6"/>
        <v/>
      </c>
      <c r="B127" s="246" t="str">
        <f t="shared" si="9"/>
        <v/>
      </c>
      <c r="C127" s="252" t="str">
        <f t="shared" si="5"/>
        <v/>
      </c>
      <c r="D127" s="243" t="str">
        <f t="shared" si="7"/>
        <v/>
      </c>
      <c r="E127" s="244" t="str">
        <f t="shared" si="8"/>
        <v/>
      </c>
      <c r="F127" s="249"/>
      <c r="G127" s="249"/>
      <c r="H127" s="249"/>
      <c r="I127" s="230">
        <v>123</v>
      </c>
      <c r="J127" s="230" t="str">
        <f>_xlfn.XLOOKUP(I127,'Order Page'!W$24:W$393,'Order Page'!C$24:C$393,"")</f>
        <v/>
      </c>
      <c r="K127" s="230" t="str">
        <f>_xlfn.XLOOKUP(I127,'Order Page'!W$24:W$393,'Order Page'!U$24:U$393,"")</f>
        <v/>
      </c>
      <c r="L127" s="230" t="str">
        <f>_xlfn.XLOOKUP(I127,'Order Page'!W$24:W$393,'Order Page'!S$24:S$393,"")</f>
        <v/>
      </c>
      <c r="M127" s="230" t="str">
        <f>_xlfn.XLOOKUP(I127,'Order Page'!W$24:W$393,'Order Page'!B$24:B$393,"")</f>
        <v/>
      </c>
      <c r="N127" s="230" t="str">
        <f>_xlfn.XLOOKUP(I127,'Order Page'!W$24:W$393,'Order Page'!F$24:F$393,"")</f>
        <v/>
      </c>
      <c r="O127" s="249"/>
      <c r="P127" s="249"/>
      <c r="Q127" s="249"/>
    </row>
    <row r="128" spans="1:17" x14ac:dyDescent="0.15">
      <c r="A128" s="241" t="str">
        <f t="shared" si="6"/>
        <v/>
      </c>
      <c r="B128" s="246" t="str">
        <f t="shared" si="9"/>
        <v/>
      </c>
      <c r="C128" s="252" t="str">
        <f t="shared" si="5"/>
        <v/>
      </c>
      <c r="D128" s="243" t="str">
        <f t="shared" si="7"/>
        <v/>
      </c>
      <c r="E128" s="244" t="str">
        <f t="shared" si="8"/>
        <v/>
      </c>
      <c r="F128" s="249"/>
      <c r="G128" s="249"/>
      <c r="H128" s="249"/>
      <c r="I128" s="230">
        <v>124</v>
      </c>
      <c r="J128" s="230" t="str">
        <f>_xlfn.XLOOKUP(I128,'Order Page'!W$24:W$393,'Order Page'!C$24:C$393,"")</f>
        <v/>
      </c>
      <c r="K128" s="230" t="str">
        <f>_xlfn.XLOOKUP(I128,'Order Page'!W$24:W$393,'Order Page'!U$24:U$393,"")</f>
        <v/>
      </c>
      <c r="L128" s="230" t="str">
        <f>_xlfn.XLOOKUP(I128,'Order Page'!W$24:W$393,'Order Page'!S$24:S$393,"")</f>
        <v/>
      </c>
      <c r="M128" s="230" t="str">
        <f>_xlfn.XLOOKUP(I128,'Order Page'!W$24:W$393,'Order Page'!B$24:B$393,"")</f>
        <v/>
      </c>
      <c r="N128" s="230" t="str">
        <f>_xlfn.XLOOKUP(I128,'Order Page'!W$24:W$393,'Order Page'!F$24:F$393,"")</f>
        <v/>
      </c>
      <c r="O128" s="249"/>
      <c r="P128" s="249"/>
      <c r="Q128" s="249"/>
    </row>
    <row r="129" spans="1:17" x14ac:dyDescent="0.15">
      <c r="A129" s="241" t="str">
        <f t="shared" si="6"/>
        <v/>
      </c>
      <c r="B129" s="246" t="str">
        <f t="shared" si="9"/>
        <v/>
      </c>
      <c r="C129" s="252" t="str">
        <f t="shared" si="5"/>
        <v/>
      </c>
      <c r="D129" s="243" t="str">
        <f t="shared" si="7"/>
        <v/>
      </c>
      <c r="E129" s="244" t="str">
        <f t="shared" si="8"/>
        <v/>
      </c>
      <c r="F129" s="249"/>
      <c r="G129" s="249"/>
      <c r="H129" s="249"/>
      <c r="I129" s="230">
        <v>125</v>
      </c>
      <c r="J129" s="230" t="str">
        <f>_xlfn.XLOOKUP(I129,'Order Page'!W$24:W$393,'Order Page'!C$24:C$393,"")</f>
        <v/>
      </c>
      <c r="K129" s="230" t="str">
        <f>_xlfn.XLOOKUP(I129,'Order Page'!W$24:W$393,'Order Page'!U$24:U$393,"")</f>
        <v/>
      </c>
      <c r="L129" s="230" t="str">
        <f>_xlfn.XLOOKUP(I129,'Order Page'!W$24:W$393,'Order Page'!S$24:S$393,"")</f>
        <v/>
      </c>
      <c r="M129" s="230" t="str">
        <f>_xlfn.XLOOKUP(I129,'Order Page'!W$24:W$393,'Order Page'!B$24:B$393,"")</f>
        <v/>
      </c>
      <c r="N129" s="230" t="str">
        <f>_xlfn.XLOOKUP(I129,'Order Page'!W$24:W$393,'Order Page'!F$24:F$393,"")</f>
        <v/>
      </c>
      <c r="O129" s="249"/>
      <c r="P129" s="249"/>
      <c r="Q129" s="249"/>
    </row>
    <row r="130" spans="1:17" x14ac:dyDescent="0.15">
      <c r="A130" s="241" t="str">
        <f t="shared" si="6"/>
        <v/>
      </c>
      <c r="B130" s="246" t="str">
        <f t="shared" si="9"/>
        <v/>
      </c>
      <c r="C130" s="252" t="str">
        <f t="shared" si="5"/>
        <v/>
      </c>
      <c r="D130" s="243" t="str">
        <f t="shared" si="7"/>
        <v/>
      </c>
      <c r="E130" s="244" t="str">
        <f t="shared" si="8"/>
        <v/>
      </c>
      <c r="F130" s="249"/>
      <c r="G130" s="249"/>
      <c r="H130" s="249"/>
      <c r="I130" s="230">
        <v>126</v>
      </c>
      <c r="J130" s="230" t="str">
        <f>_xlfn.XLOOKUP(I130,'Order Page'!W$24:W$393,'Order Page'!C$24:C$393,"")</f>
        <v/>
      </c>
      <c r="K130" s="230" t="str">
        <f>_xlfn.XLOOKUP(I130,'Order Page'!W$24:W$393,'Order Page'!U$24:U$393,"")</f>
        <v/>
      </c>
      <c r="L130" s="230" t="str">
        <f>_xlfn.XLOOKUP(I130,'Order Page'!W$24:W$393,'Order Page'!S$24:S$393,"")</f>
        <v/>
      </c>
      <c r="M130" s="230" t="str">
        <f>_xlfn.XLOOKUP(I130,'Order Page'!W$24:W$393,'Order Page'!B$24:B$393,"")</f>
        <v/>
      </c>
      <c r="N130" s="230" t="str">
        <f>_xlfn.XLOOKUP(I130,'Order Page'!W$24:W$393,'Order Page'!F$24:F$393,"")</f>
        <v/>
      </c>
      <c r="O130" s="249"/>
      <c r="P130" s="249"/>
      <c r="Q130" s="249"/>
    </row>
    <row r="131" spans="1:17" x14ac:dyDescent="0.15">
      <c r="A131" s="241" t="str">
        <f t="shared" si="6"/>
        <v/>
      </c>
      <c r="B131" s="246" t="str">
        <f t="shared" si="9"/>
        <v/>
      </c>
      <c r="C131" s="252" t="str">
        <f t="shared" si="5"/>
        <v/>
      </c>
      <c r="D131" s="243" t="str">
        <f t="shared" si="7"/>
        <v/>
      </c>
      <c r="E131" s="244" t="str">
        <f t="shared" si="8"/>
        <v/>
      </c>
      <c r="F131" s="249"/>
      <c r="G131" s="249"/>
      <c r="H131" s="249"/>
      <c r="I131" s="230">
        <v>127</v>
      </c>
      <c r="J131" s="230" t="str">
        <f>_xlfn.XLOOKUP(I131,'Order Page'!W$24:W$393,'Order Page'!C$24:C$393,"")</f>
        <v/>
      </c>
      <c r="K131" s="230" t="str">
        <f>_xlfn.XLOOKUP(I131,'Order Page'!W$24:W$393,'Order Page'!U$24:U$393,"")</f>
        <v/>
      </c>
      <c r="L131" s="230" t="str">
        <f>_xlfn.XLOOKUP(I131,'Order Page'!W$24:W$393,'Order Page'!S$24:S$393,"")</f>
        <v/>
      </c>
      <c r="M131" s="230" t="str">
        <f>_xlfn.XLOOKUP(I131,'Order Page'!W$24:W$393,'Order Page'!B$24:B$393,"")</f>
        <v/>
      </c>
      <c r="N131" s="230" t="str">
        <f>_xlfn.XLOOKUP(I131,'Order Page'!W$24:W$393,'Order Page'!F$24:F$393,"")</f>
        <v/>
      </c>
      <c r="O131" s="249"/>
      <c r="P131" s="249"/>
      <c r="Q131" s="249"/>
    </row>
    <row r="132" spans="1:17" x14ac:dyDescent="0.15">
      <c r="A132" s="241" t="str">
        <f t="shared" si="6"/>
        <v/>
      </c>
      <c r="B132" s="246" t="str">
        <f t="shared" si="9"/>
        <v/>
      </c>
      <c r="C132" s="252" t="str">
        <f t="shared" si="5"/>
        <v/>
      </c>
      <c r="D132" s="243" t="str">
        <f t="shared" si="7"/>
        <v/>
      </c>
      <c r="E132" s="244" t="str">
        <f t="shared" si="8"/>
        <v/>
      </c>
      <c r="F132" s="249"/>
      <c r="G132" s="249"/>
      <c r="H132" s="249"/>
      <c r="I132" s="230">
        <v>128</v>
      </c>
      <c r="J132" s="230" t="str">
        <f>_xlfn.XLOOKUP(I132,'Order Page'!W$24:W$393,'Order Page'!C$24:C$393,"")</f>
        <v/>
      </c>
      <c r="K132" s="230" t="str">
        <f>_xlfn.XLOOKUP(I132,'Order Page'!W$24:W$393,'Order Page'!U$24:U$393,"")</f>
        <v/>
      </c>
      <c r="L132" s="230" t="str">
        <f>_xlfn.XLOOKUP(I132,'Order Page'!W$24:W$393,'Order Page'!S$24:S$393,"")</f>
        <v/>
      </c>
      <c r="M132" s="230" t="str">
        <f>_xlfn.XLOOKUP(I132,'Order Page'!W$24:W$393,'Order Page'!B$24:B$393,"")</f>
        <v/>
      </c>
      <c r="N132" s="230" t="str">
        <f>_xlfn.XLOOKUP(I132,'Order Page'!W$24:W$393,'Order Page'!F$24:F$393,"")</f>
        <v/>
      </c>
      <c r="O132" s="249"/>
      <c r="P132" s="249"/>
      <c r="Q132" s="249"/>
    </row>
    <row r="133" spans="1:17" x14ac:dyDescent="0.15">
      <c r="A133" s="241" t="str">
        <f t="shared" si="6"/>
        <v/>
      </c>
      <c r="B133" s="246" t="str">
        <f t="shared" si="9"/>
        <v/>
      </c>
      <c r="C133" s="252" t="str">
        <f t="shared" si="5"/>
        <v/>
      </c>
      <c r="D133" s="243" t="str">
        <f t="shared" si="7"/>
        <v/>
      </c>
      <c r="E133" s="244" t="str">
        <f t="shared" si="8"/>
        <v/>
      </c>
      <c r="F133" s="249"/>
      <c r="G133" s="249"/>
      <c r="H133" s="249"/>
      <c r="I133" s="230">
        <v>129</v>
      </c>
      <c r="J133" s="230" t="str">
        <f>_xlfn.XLOOKUP(I133,'Order Page'!W$24:W$393,'Order Page'!C$24:C$393,"")</f>
        <v/>
      </c>
      <c r="K133" s="230" t="str">
        <f>_xlfn.XLOOKUP(I133,'Order Page'!W$24:W$393,'Order Page'!U$24:U$393,"")</f>
        <v/>
      </c>
      <c r="L133" s="230" t="str">
        <f>_xlfn.XLOOKUP(I133,'Order Page'!W$24:W$393,'Order Page'!S$24:S$393,"")</f>
        <v/>
      </c>
      <c r="M133" s="230" t="str">
        <f>_xlfn.XLOOKUP(I133,'Order Page'!W$24:W$393,'Order Page'!B$24:B$393,"")</f>
        <v/>
      </c>
      <c r="N133" s="230" t="str">
        <f>_xlfn.XLOOKUP(I133,'Order Page'!W$24:W$393,'Order Page'!F$24:F$393,"")</f>
        <v/>
      </c>
      <c r="O133" s="249"/>
      <c r="P133" s="249"/>
      <c r="Q133" s="249"/>
    </row>
    <row r="134" spans="1:17" x14ac:dyDescent="0.15">
      <c r="A134" s="241" t="str">
        <f t="shared" si="6"/>
        <v/>
      </c>
      <c r="B134" s="246" t="str">
        <f t="shared" si="9"/>
        <v/>
      </c>
      <c r="C134" s="252" t="str">
        <f t="shared" ref="C134:C164" si="10">IF(N134=0,"",N134)</f>
        <v/>
      </c>
      <c r="D134" s="243" t="str">
        <f t="shared" si="7"/>
        <v/>
      </c>
      <c r="E134" s="244" t="str">
        <f t="shared" si="8"/>
        <v/>
      </c>
      <c r="F134" s="249"/>
      <c r="G134" s="249"/>
      <c r="H134" s="249"/>
      <c r="I134" s="230">
        <v>130</v>
      </c>
      <c r="J134" s="230" t="str">
        <f>_xlfn.XLOOKUP(I134,'Order Page'!W$24:W$393,'Order Page'!C$24:C$393,"")</f>
        <v/>
      </c>
      <c r="K134" s="230" t="str">
        <f>_xlfn.XLOOKUP(I134,'Order Page'!W$24:W$393,'Order Page'!U$24:U$393,"")</f>
        <v/>
      </c>
      <c r="L134" s="230" t="str">
        <f>_xlfn.XLOOKUP(I134,'Order Page'!W$24:W$393,'Order Page'!S$24:S$393,"")</f>
        <v/>
      </c>
      <c r="M134" s="230" t="str">
        <f>_xlfn.XLOOKUP(I134,'Order Page'!W$24:W$393,'Order Page'!B$24:B$393,"")</f>
        <v/>
      </c>
      <c r="N134" s="230" t="str">
        <f>_xlfn.XLOOKUP(I134,'Order Page'!W$24:W$393,'Order Page'!F$24:F$393,"")</f>
        <v/>
      </c>
      <c r="O134" s="249"/>
      <c r="P134" s="249"/>
      <c r="Q134" s="249"/>
    </row>
    <row r="135" spans="1:17" x14ac:dyDescent="0.15">
      <c r="A135" s="241" t="str">
        <f t="shared" si="6"/>
        <v/>
      </c>
      <c r="B135" s="246" t="str">
        <f t="shared" si="9"/>
        <v/>
      </c>
      <c r="C135" s="252" t="str">
        <f t="shared" si="10"/>
        <v/>
      </c>
      <c r="D135" s="243" t="str">
        <f t="shared" si="7"/>
        <v/>
      </c>
      <c r="E135" s="244" t="str">
        <f t="shared" si="8"/>
        <v/>
      </c>
      <c r="F135" s="249"/>
      <c r="G135" s="249"/>
      <c r="H135" s="249"/>
      <c r="I135" s="230">
        <v>131</v>
      </c>
      <c r="J135" s="230" t="str">
        <f>_xlfn.XLOOKUP(I135,'Order Page'!W$24:W$393,'Order Page'!C$24:C$393,"")</f>
        <v/>
      </c>
      <c r="K135" s="230" t="str">
        <f>_xlfn.XLOOKUP(I135,'Order Page'!W$24:W$393,'Order Page'!U$24:U$393,"")</f>
        <v/>
      </c>
      <c r="L135" s="230" t="str">
        <f>_xlfn.XLOOKUP(I135,'Order Page'!W$24:W$393,'Order Page'!S$24:S$393,"")</f>
        <v/>
      </c>
      <c r="M135" s="230" t="str">
        <f>_xlfn.XLOOKUP(I135,'Order Page'!W$24:W$393,'Order Page'!B$24:B$393,"")</f>
        <v/>
      </c>
      <c r="N135" s="230" t="str">
        <f>_xlfn.XLOOKUP(I135,'Order Page'!W$24:W$393,'Order Page'!F$24:F$393,"")</f>
        <v/>
      </c>
      <c r="O135" s="249"/>
      <c r="P135" s="249"/>
      <c r="Q135" s="249"/>
    </row>
    <row r="136" spans="1:17" x14ac:dyDescent="0.15">
      <c r="A136" s="241" t="str">
        <f t="shared" si="6"/>
        <v/>
      </c>
      <c r="B136" s="246" t="str">
        <f t="shared" si="9"/>
        <v/>
      </c>
      <c r="C136" s="252" t="str">
        <f t="shared" si="10"/>
        <v/>
      </c>
      <c r="D136" s="243" t="str">
        <f t="shared" si="7"/>
        <v/>
      </c>
      <c r="E136" s="244" t="str">
        <f t="shared" si="8"/>
        <v/>
      </c>
      <c r="F136" s="249"/>
      <c r="G136" s="249"/>
      <c r="H136" s="249"/>
      <c r="I136" s="230">
        <v>132</v>
      </c>
      <c r="J136" s="230" t="str">
        <f>_xlfn.XLOOKUP(I136,'Order Page'!W$24:W$393,'Order Page'!C$24:C$393,"")</f>
        <v/>
      </c>
      <c r="K136" s="230" t="str">
        <f>_xlfn.XLOOKUP(I136,'Order Page'!W$24:W$393,'Order Page'!U$24:U$393,"")</f>
        <v/>
      </c>
      <c r="L136" s="230" t="str">
        <f>_xlfn.XLOOKUP(I136,'Order Page'!W$24:W$393,'Order Page'!S$24:S$393,"")</f>
        <v/>
      </c>
      <c r="M136" s="230" t="str">
        <f>_xlfn.XLOOKUP(I136,'Order Page'!W$24:W$393,'Order Page'!B$24:B$393,"")</f>
        <v/>
      </c>
      <c r="N136" s="230" t="str">
        <f>_xlfn.XLOOKUP(I136,'Order Page'!W$24:W$393,'Order Page'!F$24:F$393,"")</f>
        <v/>
      </c>
      <c r="O136" s="249"/>
      <c r="P136" s="249"/>
      <c r="Q136" s="249"/>
    </row>
    <row r="137" spans="1:17" x14ac:dyDescent="0.15">
      <c r="A137" s="241" t="str">
        <f t="shared" si="6"/>
        <v/>
      </c>
      <c r="B137" s="246" t="str">
        <f t="shared" si="9"/>
        <v/>
      </c>
      <c r="C137" s="252" t="str">
        <f t="shared" si="10"/>
        <v/>
      </c>
      <c r="D137" s="243" t="str">
        <f t="shared" si="7"/>
        <v/>
      </c>
      <c r="E137" s="244" t="str">
        <f t="shared" si="8"/>
        <v/>
      </c>
      <c r="F137" s="249"/>
      <c r="G137" s="249"/>
      <c r="H137" s="249"/>
      <c r="I137" s="230">
        <v>133</v>
      </c>
      <c r="J137" s="230" t="str">
        <f>_xlfn.XLOOKUP(I137,'Order Page'!W$24:W$393,'Order Page'!C$24:C$393,"")</f>
        <v/>
      </c>
      <c r="K137" s="230" t="str">
        <f>_xlfn.XLOOKUP(I137,'Order Page'!W$24:W$393,'Order Page'!U$24:U$393,"")</f>
        <v/>
      </c>
      <c r="L137" s="230" t="str">
        <f>_xlfn.XLOOKUP(I137,'Order Page'!W$24:W$393,'Order Page'!S$24:S$393,"")</f>
        <v/>
      </c>
      <c r="M137" s="230" t="str">
        <f>_xlfn.XLOOKUP(I137,'Order Page'!W$24:W$393,'Order Page'!B$24:B$393,"")</f>
        <v/>
      </c>
      <c r="N137" s="230" t="str">
        <f>_xlfn.XLOOKUP(I137,'Order Page'!W$24:W$393,'Order Page'!F$24:F$393,"")</f>
        <v/>
      </c>
      <c r="O137" s="249"/>
      <c r="P137" s="249"/>
      <c r="Q137" s="249"/>
    </row>
    <row r="138" spans="1:17" x14ac:dyDescent="0.15">
      <c r="A138" s="241" t="str">
        <f t="shared" ref="A138:A164" si="11">IF(L138=0,"",IF(L138=L137,"",L138))</f>
        <v/>
      </c>
      <c r="B138" s="246" t="str">
        <f t="shared" si="9"/>
        <v/>
      </c>
      <c r="C138" s="252" t="str">
        <f t="shared" si="10"/>
        <v/>
      </c>
      <c r="D138" s="243" t="str">
        <f t="shared" ref="D138:D164" si="12">IF(J138=J137,"",K138)</f>
        <v/>
      </c>
      <c r="E138" s="244" t="str">
        <f t="shared" si="8"/>
        <v/>
      </c>
      <c r="F138" s="249"/>
      <c r="G138" s="249"/>
      <c r="H138" s="249"/>
      <c r="I138" s="230">
        <v>134</v>
      </c>
      <c r="J138" s="230" t="str">
        <f>_xlfn.XLOOKUP(I138,'Order Page'!W$24:W$393,'Order Page'!C$24:C$393,"")</f>
        <v/>
      </c>
      <c r="K138" s="230" t="str">
        <f>_xlfn.XLOOKUP(I138,'Order Page'!W$24:W$393,'Order Page'!U$24:U$393,"")</f>
        <v/>
      </c>
      <c r="L138" s="230" t="str">
        <f>_xlfn.XLOOKUP(I138,'Order Page'!W$24:W$393,'Order Page'!S$24:S$393,"")</f>
        <v/>
      </c>
      <c r="M138" s="230" t="str">
        <f>_xlfn.XLOOKUP(I138,'Order Page'!W$24:W$393,'Order Page'!B$24:B$393,"")</f>
        <v/>
      </c>
      <c r="N138" s="230" t="str">
        <f>_xlfn.XLOOKUP(I138,'Order Page'!W$24:W$393,'Order Page'!F$24:F$393,"")</f>
        <v/>
      </c>
      <c r="O138" s="249"/>
      <c r="P138" s="249"/>
      <c r="Q138" s="249"/>
    </row>
    <row r="139" spans="1:17" x14ac:dyDescent="0.15">
      <c r="A139" s="241" t="str">
        <f t="shared" si="11"/>
        <v/>
      </c>
      <c r="B139" s="246" t="str">
        <f t="shared" si="9"/>
        <v/>
      </c>
      <c r="C139" s="252" t="str">
        <f t="shared" si="10"/>
        <v/>
      </c>
      <c r="D139" s="243" t="str">
        <f t="shared" si="12"/>
        <v/>
      </c>
      <c r="E139" s="244" t="str">
        <f t="shared" ref="E139:E164" si="13">IF(J139=J138,"",M139)</f>
        <v/>
      </c>
      <c r="F139" s="249"/>
      <c r="G139" s="249"/>
      <c r="H139" s="249"/>
      <c r="I139" s="230">
        <v>135</v>
      </c>
      <c r="J139" s="230" t="str">
        <f>_xlfn.XLOOKUP(I139,'Order Page'!W$24:W$393,'Order Page'!C$24:C$393,"")</f>
        <v/>
      </c>
      <c r="K139" s="230" t="str">
        <f>_xlfn.XLOOKUP(I139,'Order Page'!W$24:W$393,'Order Page'!U$24:U$393,"")</f>
        <v/>
      </c>
      <c r="L139" s="230" t="str">
        <f>_xlfn.XLOOKUP(I139,'Order Page'!W$24:W$393,'Order Page'!S$24:S$393,"")</f>
        <v/>
      </c>
      <c r="M139" s="230" t="str">
        <f>_xlfn.XLOOKUP(I139,'Order Page'!W$24:W$393,'Order Page'!B$24:B$393,"")</f>
        <v/>
      </c>
      <c r="N139" s="230" t="str">
        <f>_xlfn.XLOOKUP(I139,'Order Page'!W$24:W$393,'Order Page'!F$24:F$393,"")</f>
        <v/>
      </c>
      <c r="O139" s="249"/>
      <c r="P139" s="249"/>
      <c r="Q139" s="249"/>
    </row>
    <row r="140" spans="1:17" x14ac:dyDescent="0.15">
      <c r="A140" s="241" t="str">
        <f t="shared" si="11"/>
        <v/>
      </c>
      <c r="B140" s="246" t="str">
        <f t="shared" ref="B140:B164" si="14">IF(J140=J139,"",J140)</f>
        <v/>
      </c>
      <c r="C140" s="252" t="str">
        <f t="shared" si="10"/>
        <v/>
      </c>
      <c r="D140" s="243" t="str">
        <f t="shared" si="12"/>
        <v/>
      </c>
      <c r="E140" s="244" t="str">
        <f t="shared" si="13"/>
        <v/>
      </c>
      <c r="F140" s="249"/>
      <c r="G140" s="249"/>
      <c r="H140" s="249"/>
      <c r="I140" s="230">
        <v>136</v>
      </c>
      <c r="J140" s="230" t="str">
        <f>_xlfn.XLOOKUP(I140,'Order Page'!W$24:W$393,'Order Page'!C$24:C$393,"")</f>
        <v/>
      </c>
      <c r="K140" s="230" t="str">
        <f>_xlfn.XLOOKUP(I140,'Order Page'!W$24:W$393,'Order Page'!U$24:U$393,"")</f>
        <v/>
      </c>
      <c r="L140" s="230" t="str">
        <f>_xlfn.XLOOKUP(I140,'Order Page'!W$24:W$393,'Order Page'!S$24:S$393,"")</f>
        <v/>
      </c>
      <c r="M140" s="230" t="str">
        <f>_xlfn.XLOOKUP(I140,'Order Page'!W$24:W$393,'Order Page'!B$24:B$393,"")</f>
        <v/>
      </c>
      <c r="N140" s="230" t="str">
        <f>_xlfn.XLOOKUP(I140,'Order Page'!W$24:W$393,'Order Page'!F$24:F$393,"")</f>
        <v/>
      </c>
      <c r="O140" s="249"/>
      <c r="P140" s="249"/>
      <c r="Q140" s="249"/>
    </row>
    <row r="141" spans="1:17" x14ac:dyDescent="0.15">
      <c r="A141" s="241" t="str">
        <f t="shared" si="11"/>
        <v/>
      </c>
      <c r="B141" s="246" t="str">
        <f t="shared" si="14"/>
        <v/>
      </c>
      <c r="C141" s="252" t="str">
        <f t="shared" si="10"/>
        <v/>
      </c>
      <c r="D141" s="243" t="str">
        <f t="shared" si="12"/>
        <v/>
      </c>
      <c r="E141" s="244" t="str">
        <f t="shared" si="13"/>
        <v/>
      </c>
      <c r="F141" s="249"/>
      <c r="G141" s="249"/>
      <c r="H141" s="249"/>
      <c r="I141" s="230">
        <v>137</v>
      </c>
      <c r="J141" s="230" t="str">
        <f>_xlfn.XLOOKUP(I141,'Order Page'!W$24:W$393,'Order Page'!C$24:C$393,"")</f>
        <v/>
      </c>
      <c r="K141" s="230" t="str">
        <f>_xlfn.XLOOKUP(I141,'Order Page'!W$24:W$393,'Order Page'!U$24:U$393,"")</f>
        <v/>
      </c>
      <c r="L141" s="230" t="str">
        <f>_xlfn.XLOOKUP(I141,'Order Page'!W$24:W$393,'Order Page'!S$24:S$393,"")</f>
        <v/>
      </c>
      <c r="M141" s="230" t="str">
        <f>_xlfn.XLOOKUP(I141,'Order Page'!W$24:W$393,'Order Page'!B$24:B$393,"")</f>
        <v/>
      </c>
      <c r="N141" s="230" t="str">
        <f>_xlfn.XLOOKUP(I141,'Order Page'!W$24:W$393,'Order Page'!F$24:F$393,"")</f>
        <v/>
      </c>
      <c r="O141" s="249"/>
      <c r="P141" s="249"/>
      <c r="Q141" s="249"/>
    </row>
    <row r="142" spans="1:17" x14ac:dyDescent="0.15">
      <c r="A142" s="241" t="str">
        <f t="shared" si="11"/>
        <v/>
      </c>
      <c r="B142" s="246" t="str">
        <f t="shared" si="14"/>
        <v/>
      </c>
      <c r="C142" s="252" t="str">
        <f t="shared" si="10"/>
        <v/>
      </c>
      <c r="D142" s="243" t="str">
        <f t="shared" si="12"/>
        <v/>
      </c>
      <c r="E142" s="244" t="str">
        <f t="shared" si="13"/>
        <v/>
      </c>
      <c r="F142" s="249"/>
      <c r="G142" s="249"/>
      <c r="H142" s="249"/>
      <c r="I142" s="230">
        <v>138</v>
      </c>
      <c r="J142" s="230" t="str">
        <f>_xlfn.XLOOKUP(I142,'Order Page'!W$24:W$393,'Order Page'!C$24:C$393,"")</f>
        <v/>
      </c>
      <c r="K142" s="230" t="str">
        <f>_xlfn.XLOOKUP(I142,'Order Page'!W$24:W$393,'Order Page'!U$24:U$393,"")</f>
        <v/>
      </c>
      <c r="L142" s="230" t="str">
        <f>_xlfn.XLOOKUP(I142,'Order Page'!W$24:W$393,'Order Page'!S$24:S$393,"")</f>
        <v/>
      </c>
      <c r="M142" s="230" t="str">
        <f>_xlfn.XLOOKUP(I142,'Order Page'!W$24:W$393,'Order Page'!B$24:B$393,"")</f>
        <v/>
      </c>
      <c r="N142" s="230" t="str">
        <f>_xlfn.XLOOKUP(I142,'Order Page'!W$24:W$393,'Order Page'!F$24:F$393,"")</f>
        <v/>
      </c>
      <c r="O142" s="249"/>
      <c r="P142" s="249"/>
      <c r="Q142" s="249"/>
    </row>
    <row r="143" spans="1:17" x14ac:dyDescent="0.15">
      <c r="A143" s="241" t="str">
        <f t="shared" si="11"/>
        <v/>
      </c>
      <c r="B143" s="246" t="str">
        <f t="shared" si="14"/>
        <v/>
      </c>
      <c r="C143" s="252" t="str">
        <f t="shared" si="10"/>
        <v/>
      </c>
      <c r="D143" s="243" t="str">
        <f t="shared" si="12"/>
        <v/>
      </c>
      <c r="E143" s="244" t="str">
        <f t="shared" si="13"/>
        <v/>
      </c>
      <c r="F143" s="249"/>
      <c r="G143" s="249"/>
      <c r="H143" s="249"/>
      <c r="I143" s="230">
        <v>139</v>
      </c>
      <c r="J143" s="230" t="str">
        <f>_xlfn.XLOOKUP(I143,'Order Page'!W$24:W$393,'Order Page'!C$24:C$393,"")</f>
        <v/>
      </c>
      <c r="K143" s="230" t="str">
        <f>_xlfn.XLOOKUP(I143,'Order Page'!W$24:W$393,'Order Page'!U$24:U$393,"")</f>
        <v/>
      </c>
      <c r="L143" s="230" t="str">
        <f>_xlfn.XLOOKUP(I143,'Order Page'!W$24:W$393,'Order Page'!S$24:S$393,"")</f>
        <v/>
      </c>
      <c r="M143" s="230" t="str">
        <f>_xlfn.XLOOKUP(I143,'Order Page'!W$24:W$393,'Order Page'!B$24:B$393,"")</f>
        <v/>
      </c>
      <c r="N143" s="230" t="str">
        <f>_xlfn.XLOOKUP(I143,'Order Page'!W$24:W$393,'Order Page'!F$24:F$393,"")</f>
        <v/>
      </c>
      <c r="O143" s="249"/>
      <c r="P143" s="249"/>
      <c r="Q143" s="249"/>
    </row>
    <row r="144" spans="1:17" x14ac:dyDescent="0.15">
      <c r="A144" s="241" t="str">
        <f t="shared" si="11"/>
        <v/>
      </c>
      <c r="B144" s="246" t="str">
        <f t="shared" si="14"/>
        <v/>
      </c>
      <c r="C144" s="252" t="str">
        <f t="shared" si="10"/>
        <v/>
      </c>
      <c r="D144" s="243" t="str">
        <f t="shared" si="12"/>
        <v/>
      </c>
      <c r="E144" s="244" t="str">
        <f t="shared" si="13"/>
        <v/>
      </c>
      <c r="F144" s="249"/>
      <c r="G144" s="249"/>
      <c r="H144" s="249"/>
      <c r="I144" s="230">
        <v>140</v>
      </c>
      <c r="J144" s="230" t="str">
        <f>_xlfn.XLOOKUP(I144,'Order Page'!W$24:W$393,'Order Page'!C$24:C$393,"")</f>
        <v/>
      </c>
      <c r="K144" s="230" t="str">
        <f>_xlfn.XLOOKUP(I144,'Order Page'!W$24:W$393,'Order Page'!U$24:U$393,"")</f>
        <v/>
      </c>
      <c r="L144" s="230" t="str">
        <f>_xlfn.XLOOKUP(I144,'Order Page'!W$24:W$393,'Order Page'!S$24:S$393,"")</f>
        <v/>
      </c>
      <c r="M144" s="230" t="str">
        <f>_xlfn.XLOOKUP(I144,'Order Page'!W$24:W$393,'Order Page'!B$24:B$393,"")</f>
        <v/>
      </c>
      <c r="N144" s="230" t="str">
        <f>_xlfn.XLOOKUP(I144,'Order Page'!W$24:W$393,'Order Page'!F$24:F$393,"")</f>
        <v/>
      </c>
      <c r="O144" s="249"/>
      <c r="P144" s="249"/>
      <c r="Q144" s="249"/>
    </row>
    <row r="145" spans="1:17" x14ac:dyDescent="0.15">
      <c r="A145" s="241" t="str">
        <f t="shared" si="11"/>
        <v/>
      </c>
      <c r="B145" s="246" t="str">
        <f t="shared" si="14"/>
        <v/>
      </c>
      <c r="C145" s="252" t="str">
        <f t="shared" si="10"/>
        <v/>
      </c>
      <c r="D145" s="243" t="str">
        <f t="shared" si="12"/>
        <v/>
      </c>
      <c r="E145" s="244" t="str">
        <f t="shared" si="13"/>
        <v/>
      </c>
      <c r="F145" s="249"/>
      <c r="G145" s="249"/>
      <c r="H145" s="249"/>
      <c r="I145" s="230">
        <v>141</v>
      </c>
      <c r="J145" s="230" t="str">
        <f>_xlfn.XLOOKUP(I145,'Order Page'!W$24:W$393,'Order Page'!C$24:C$393,"")</f>
        <v/>
      </c>
      <c r="K145" s="230" t="str">
        <f>_xlfn.XLOOKUP(I145,'Order Page'!W$24:W$393,'Order Page'!U$24:U$393,"")</f>
        <v/>
      </c>
      <c r="L145" s="230" t="str">
        <f>_xlfn.XLOOKUP(I145,'Order Page'!W$24:W$393,'Order Page'!S$24:S$393,"")</f>
        <v/>
      </c>
      <c r="M145" s="230" t="str">
        <f>_xlfn.XLOOKUP(I145,'Order Page'!W$24:W$393,'Order Page'!B$24:B$393,"")</f>
        <v/>
      </c>
      <c r="N145" s="230" t="str">
        <f>_xlfn.XLOOKUP(I145,'Order Page'!W$24:W$393,'Order Page'!F$24:F$393,"")</f>
        <v/>
      </c>
      <c r="O145" s="249"/>
      <c r="P145" s="249"/>
      <c r="Q145" s="249"/>
    </row>
    <row r="146" spans="1:17" x14ac:dyDescent="0.15">
      <c r="A146" s="241" t="str">
        <f t="shared" si="11"/>
        <v/>
      </c>
      <c r="B146" s="246" t="str">
        <f t="shared" si="14"/>
        <v/>
      </c>
      <c r="C146" s="252" t="str">
        <f t="shared" si="10"/>
        <v/>
      </c>
      <c r="D146" s="243" t="str">
        <f t="shared" si="12"/>
        <v/>
      </c>
      <c r="E146" s="244" t="str">
        <f t="shared" si="13"/>
        <v/>
      </c>
      <c r="F146" s="249"/>
      <c r="G146" s="249"/>
      <c r="H146" s="249"/>
      <c r="I146" s="230">
        <v>142</v>
      </c>
      <c r="J146" s="230" t="str">
        <f>_xlfn.XLOOKUP(I146,'Order Page'!W$24:W$393,'Order Page'!C$24:C$393,"")</f>
        <v/>
      </c>
      <c r="K146" s="230" t="str">
        <f>_xlfn.XLOOKUP(I146,'Order Page'!W$24:W$393,'Order Page'!U$24:U$393,"")</f>
        <v/>
      </c>
      <c r="L146" s="230" t="str">
        <f>_xlfn.XLOOKUP(I146,'Order Page'!W$24:W$393,'Order Page'!S$24:S$393,"")</f>
        <v/>
      </c>
      <c r="M146" s="230" t="str">
        <f>_xlfn.XLOOKUP(I146,'Order Page'!W$24:W$393,'Order Page'!B$24:B$393,"")</f>
        <v/>
      </c>
      <c r="N146" s="230" t="str">
        <f>_xlfn.XLOOKUP(I146,'Order Page'!W$24:W$393,'Order Page'!F$24:F$393,"")</f>
        <v/>
      </c>
      <c r="O146" s="249"/>
      <c r="P146" s="249"/>
      <c r="Q146" s="249"/>
    </row>
    <row r="147" spans="1:17" x14ac:dyDescent="0.15">
      <c r="A147" s="241" t="str">
        <f t="shared" si="11"/>
        <v/>
      </c>
      <c r="B147" s="246" t="str">
        <f t="shared" si="14"/>
        <v/>
      </c>
      <c r="C147" s="252" t="str">
        <f t="shared" si="10"/>
        <v/>
      </c>
      <c r="D147" s="243" t="str">
        <f t="shared" si="12"/>
        <v/>
      </c>
      <c r="E147" s="244" t="str">
        <f t="shared" si="13"/>
        <v/>
      </c>
      <c r="F147" s="249"/>
      <c r="G147" s="249"/>
      <c r="H147" s="249"/>
      <c r="I147" s="230">
        <v>143</v>
      </c>
      <c r="J147" s="230" t="str">
        <f>_xlfn.XLOOKUP(I147,'Order Page'!W$24:W$393,'Order Page'!C$24:C$393,"")</f>
        <v/>
      </c>
      <c r="K147" s="230" t="str">
        <f>_xlfn.XLOOKUP(I147,'Order Page'!W$24:W$393,'Order Page'!U$24:U$393,"")</f>
        <v/>
      </c>
      <c r="L147" s="230" t="str">
        <f>_xlfn.XLOOKUP(I147,'Order Page'!W$24:W$393,'Order Page'!S$24:S$393,"")</f>
        <v/>
      </c>
      <c r="M147" s="230" t="str">
        <f>_xlfn.XLOOKUP(I147,'Order Page'!W$24:W$393,'Order Page'!B$24:B$393,"")</f>
        <v/>
      </c>
      <c r="N147" s="230" t="str">
        <f>_xlfn.XLOOKUP(I147,'Order Page'!W$24:W$393,'Order Page'!F$24:F$393,"")</f>
        <v/>
      </c>
      <c r="O147" s="249"/>
      <c r="P147" s="249"/>
      <c r="Q147" s="249"/>
    </row>
    <row r="148" spans="1:17" x14ac:dyDescent="0.15">
      <c r="A148" s="241" t="str">
        <f t="shared" si="11"/>
        <v/>
      </c>
      <c r="B148" s="246" t="str">
        <f t="shared" si="14"/>
        <v/>
      </c>
      <c r="C148" s="252" t="str">
        <f t="shared" si="10"/>
        <v/>
      </c>
      <c r="D148" s="243" t="str">
        <f t="shared" si="12"/>
        <v/>
      </c>
      <c r="E148" s="244" t="str">
        <f t="shared" si="13"/>
        <v/>
      </c>
      <c r="F148" s="249"/>
      <c r="G148" s="249"/>
      <c r="H148" s="249"/>
      <c r="I148" s="230">
        <v>144</v>
      </c>
      <c r="J148" s="230" t="str">
        <f>_xlfn.XLOOKUP(I148,'Order Page'!W$24:W$393,'Order Page'!C$24:C$393,"")</f>
        <v/>
      </c>
      <c r="K148" s="230" t="str">
        <f>_xlfn.XLOOKUP(I148,'Order Page'!W$24:W$393,'Order Page'!U$24:U$393,"")</f>
        <v/>
      </c>
      <c r="L148" s="230" t="str">
        <f>_xlfn.XLOOKUP(I148,'Order Page'!W$24:W$393,'Order Page'!S$24:S$393,"")</f>
        <v/>
      </c>
      <c r="M148" s="230" t="str">
        <f>_xlfn.XLOOKUP(I148,'Order Page'!W$24:W$393,'Order Page'!B$24:B$393,"")</f>
        <v/>
      </c>
      <c r="N148" s="230" t="str">
        <f>_xlfn.XLOOKUP(I148,'Order Page'!W$24:W$393,'Order Page'!F$24:F$393,"")</f>
        <v/>
      </c>
      <c r="O148" s="249"/>
      <c r="P148" s="249"/>
      <c r="Q148" s="249"/>
    </row>
    <row r="149" spans="1:17" x14ac:dyDescent="0.15">
      <c r="A149" s="241" t="str">
        <f t="shared" si="11"/>
        <v/>
      </c>
      <c r="B149" s="246" t="str">
        <f t="shared" si="14"/>
        <v/>
      </c>
      <c r="C149" s="252" t="str">
        <f t="shared" si="10"/>
        <v/>
      </c>
      <c r="D149" s="243" t="str">
        <f t="shared" si="12"/>
        <v/>
      </c>
      <c r="E149" s="244" t="str">
        <f t="shared" si="13"/>
        <v/>
      </c>
      <c r="F149" s="249"/>
      <c r="G149" s="249"/>
      <c r="H149" s="249"/>
      <c r="I149" s="230">
        <v>145</v>
      </c>
      <c r="J149" s="230" t="str">
        <f>_xlfn.XLOOKUP(I149,'Order Page'!W$24:W$393,'Order Page'!C$24:C$393,"")</f>
        <v/>
      </c>
      <c r="K149" s="230" t="str">
        <f>_xlfn.XLOOKUP(I149,'Order Page'!W$24:W$393,'Order Page'!U$24:U$393,"")</f>
        <v/>
      </c>
      <c r="L149" s="230" t="str">
        <f>_xlfn.XLOOKUP(I149,'Order Page'!W$24:W$393,'Order Page'!S$24:S$393,"")</f>
        <v/>
      </c>
      <c r="M149" s="230" t="str">
        <f>_xlfn.XLOOKUP(I149,'Order Page'!W$24:W$393,'Order Page'!B$24:B$393,"")</f>
        <v/>
      </c>
      <c r="N149" s="230" t="str">
        <f>_xlfn.XLOOKUP(I149,'Order Page'!W$24:W$393,'Order Page'!F$24:F$393,"")</f>
        <v/>
      </c>
      <c r="O149" s="249"/>
      <c r="P149" s="249"/>
      <c r="Q149" s="249"/>
    </row>
    <row r="150" spans="1:17" x14ac:dyDescent="0.15">
      <c r="A150" s="241" t="str">
        <f t="shared" si="11"/>
        <v/>
      </c>
      <c r="B150" s="246" t="str">
        <f t="shared" si="14"/>
        <v/>
      </c>
      <c r="C150" s="252" t="str">
        <f t="shared" si="10"/>
        <v/>
      </c>
      <c r="D150" s="243" t="str">
        <f t="shared" si="12"/>
        <v/>
      </c>
      <c r="E150" s="244" t="str">
        <f t="shared" si="13"/>
        <v/>
      </c>
      <c r="F150" s="249"/>
      <c r="G150" s="249"/>
      <c r="H150" s="249"/>
      <c r="I150" s="230">
        <v>146</v>
      </c>
      <c r="J150" s="230" t="str">
        <f>_xlfn.XLOOKUP(I150,'Order Page'!W$24:W$393,'Order Page'!C$24:C$393,"")</f>
        <v/>
      </c>
      <c r="K150" s="230" t="str">
        <f>_xlfn.XLOOKUP(I150,'Order Page'!W$24:W$393,'Order Page'!U$24:U$393,"")</f>
        <v/>
      </c>
      <c r="L150" s="230" t="str">
        <f>_xlfn.XLOOKUP(I150,'Order Page'!W$24:W$393,'Order Page'!S$24:S$393,"")</f>
        <v/>
      </c>
      <c r="M150" s="230" t="str">
        <f>_xlfn.XLOOKUP(I150,'Order Page'!W$24:W$393,'Order Page'!B$24:B$393,"")</f>
        <v/>
      </c>
      <c r="N150" s="230" t="str">
        <f>_xlfn.XLOOKUP(I150,'Order Page'!W$24:W$393,'Order Page'!F$24:F$393,"")</f>
        <v/>
      </c>
      <c r="O150" s="249"/>
      <c r="P150" s="249"/>
      <c r="Q150" s="249"/>
    </row>
    <row r="151" spans="1:17" x14ac:dyDescent="0.15">
      <c r="A151" s="241" t="str">
        <f t="shared" si="11"/>
        <v/>
      </c>
      <c r="B151" s="246" t="str">
        <f t="shared" si="14"/>
        <v/>
      </c>
      <c r="C151" s="252" t="str">
        <f t="shared" si="10"/>
        <v/>
      </c>
      <c r="D151" s="243" t="str">
        <f t="shared" si="12"/>
        <v/>
      </c>
      <c r="E151" s="244" t="str">
        <f t="shared" si="13"/>
        <v/>
      </c>
      <c r="F151" s="249"/>
      <c r="G151" s="249"/>
      <c r="H151" s="249"/>
      <c r="I151" s="230">
        <v>147</v>
      </c>
      <c r="J151" s="230" t="str">
        <f>_xlfn.XLOOKUP(I151,'Order Page'!W$24:W$393,'Order Page'!C$24:C$393,"")</f>
        <v/>
      </c>
      <c r="K151" s="230" t="str">
        <f>_xlfn.XLOOKUP(I151,'Order Page'!W$24:W$393,'Order Page'!U$24:U$393,"")</f>
        <v/>
      </c>
      <c r="L151" s="230" t="str">
        <f>_xlfn.XLOOKUP(I151,'Order Page'!W$24:W$393,'Order Page'!S$24:S$393,"")</f>
        <v/>
      </c>
      <c r="M151" s="230" t="str">
        <f>_xlfn.XLOOKUP(I151,'Order Page'!W$24:W$393,'Order Page'!B$24:B$393,"")</f>
        <v/>
      </c>
      <c r="N151" s="230" t="str">
        <f>_xlfn.XLOOKUP(I151,'Order Page'!W$24:W$393,'Order Page'!F$24:F$393,"")</f>
        <v/>
      </c>
      <c r="O151" s="249"/>
      <c r="P151" s="249"/>
      <c r="Q151" s="249"/>
    </row>
    <row r="152" spans="1:17" x14ac:dyDescent="0.15">
      <c r="A152" s="241" t="str">
        <f t="shared" si="11"/>
        <v/>
      </c>
      <c r="B152" s="246" t="str">
        <f t="shared" si="14"/>
        <v/>
      </c>
      <c r="C152" s="252" t="str">
        <f t="shared" si="10"/>
        <v/>
      </c>
      <c r="D152" s="243" t="str">
        <f t="shared" si="12"/>
        <v/>
      </c>
      <c r="E152" s="244" t="str">
        <f t="shared" si="13"/>
        <v/>
      </c>
      <c r="F152" s="249"/>
      <c r="G152" s="249"/>
      <c r="H152" s="249"/>
      <c r="I152" s="230">
        <v>148</v>
      </c>
      <c r="J152" s="230" t="str">
        <f>_xlfn.XLOOKUP(I152,'Order Page'!W$24:W$393,'Order Page'!C$24:C$393,"")</f>
        <v/>
      </c>
      <c r="K152" s="230" t="str">
        <f>_xlfn.XLOOKUP(I152,'Order Page'!W$24:W$393,'Order Page'!U$24:U$393,"")</f>
        <v/>
      </c>
      <c r="L152" s="230" t="str">
        <f>_xlfn.XLOOKUP(I152,'Order Page'!W$24:W$393,'Order Page'!S$24:S$393,"")</f>
        <v/>
      </c>
      <c r="M152" s="230" t="str">
        <f>_xlfn.XLOOKUP(I152,'Order Page'!W$24:W$393,'Order Page'!B$24:B$393,"")</f>
        <v/>
      </c>
      <c r="N152" s="230" t="str">
        <f>_xlfn.XLOOKUP(I152,'Order Page'!W$24:W$393,'Order Page'!F$24:F$393,"")</f>
        <v/>
      </c>
      <c r="O152" s="249"/>
      <c r="P152" s="249"/>
      <c r="Q152" s="249"/>
    </row>
    <row r="153" spans="1:17" x14ac:dyDescent="0.15">
      <c r="A153" s="241" t="str">
        <f t="shared" si="11"/>
        <v/>
      </c>
      <c r="B153" s="246" t="str">
        <f t="shared" si="14"/>
        <v/>
      </c>
      <c r="C153" s="252" t="str">
        <f t="shared" si="10"/>
        <v/>
      </c>
      <c r="D153" s="243" t="str">
        <f t="shared" si="12"/>
        <v/>
      </c>
      <c r="E153" s="244" t="str">
        <f t="shared" si="13"/>
        <v/>
      </c>
      <c r="F153" s="249"/>
      <c r="G153" s="249"/>
      <c r="H153" s="249"/>
      <c r="I153" s="230">
        <v>149</v>
      </c>
      <c r="J153" s="230" t="str">
        <f>_xlfn.XLOOKUP(I153,'Order Page'!W$24:W$393,'Order Page'!C$24:C$393,"")</f>
        <v/>
      </c>
      <c r="K153" s="230" t="str">
        <f>_xlfn.XLOOKUP(I153,'Order Page'!W$24:W$393,'Order Page'!U$24:U$393,"")</f>
        <v/>
      </c>
      <c r="L153" s="230" t="str">
        <f>_xlfn.XLOOKUP(I153,'Order Page'!W$24:W$393,'Order Page'!S$24:S$393,"")</f>
        <v/>
      </c>
      <c r="M153" s="230" t="str">
        <f>_xlfn.XLOOKUP(I153,'Order Page'!W$24:W$393,'Order Page'!B$24:B$393,"")</f>
        <v/>
      </c>
      <c r="N153" s="230" t="str">
        <f>_xlfn.XLOOKUP(I153,'Order Page'!W$24:W$393,'Order Page'!F$24:F$393,"")</f>
        <v/>
      </c>
      <c r="O153" s="249"/>
      <c r="P153" s="249"/>
      <c r="Q153" s="249"/>
    </row>
    <row r="154" spans="1:17" x14ac:dyDescent="0.15">
      <c r="A154" s="241" t="str">
        <f t="shared" si="11"/>
        <v/>
      </c>
      <c r="B154" s="246" t="str">
        <f t="shared" si="14"/>
        <v/>
      </c>
      <c r="C154" s="252" t="str">
        <f t="shared" si="10"/>
        <v/>
      </c>
      <c r="D154" s="243" t="str">
        <f t="shared" si="12"/>
        <v/>
      </c>
      <c r="E154" s="248" t="str">
        <f t="shared" si="13"/>
        <v/>
      </c>
      <c r="F154" s="249"/>
      <c r="G154" s="249"/>
      <c r="H154" s="249"/>
      <c r="I154" s="230">
        <v>150</v>
      </c>
      <c r="J154" s="230" t="str">
        <f>_xlfn.XLOOKUP(I154,'Order Page'!W$24:W$393,'Order Page'!C$24:C$393,"")</f>
        <v/>
      </c>
      <c r="K154" s="230" t="str">
        <f>_xlfn.XLOOKUP(I154,'Order Page'!W$24:W$393,'Order Page'!U$24:U$393,"")</f>
        <v/>
      </c>
      <c r="L154" s="230" t="str">
        <f>_xlfn.XLOOKUP(I154,'Order Page'!W$24:W$393,'Order Page'!S$24:S$393,"")</f>
        <v/>
      </c>
      <c r="M154" s="230" t="str">
        <f>_xlfn.XLOOKUP(I154,'Order Page'!W$24:W$393,'Order Page'!B$24:B$393,"")</f>
        <v/>
      </c>
      <c r="N154" s="230" t="str">
        <f>_xlfn.XLOOKUP(I154,'Order Page'!W$24:W$393,'Order Page'!F$24:F$393,"")</f>
        <v/>
      </c>
      <c r="O154" s="249"/>
      <c r="P154" s="249"/>
      <c r="Q154" s="249"/>
    </row>
    <row r="155" spans="1:17" x14ac:dyDescent="0.15">
      <c r="A155" s="241" t="str">
        <f t="shared" si="11"/>
        <v/>
      </c>
      <c r="B155" s="246" t="str">
        <f t="shared" si="14"/>
        <v/>
      </c>
      <c r="C155" s="252" t="str">
        <f t="shared" si="10"/>
        <v/>
      </c>
      <c r="D155" s="243" t="str">
        <f t="shared" si="12"/>
        <v/>
      </c>
      <c r="E155" s="248" t="str">
        <f t="shared" si="13"/>
        <v/>
      </c>
      <c r="F155" s="249"/>
      <c r="G155" s="249"/>
      <c r="H155" s="249"/>
      <c r="I155" s="230">
        <v>151</v>
      </c>
      <c r="J155" s="230" t="str">
        <f>_xlfn.XLOOKUP(I155,'Order Page'!W$24:W$393,'Order Page'!C$24:C$393,"")</f>
        <v/>
      </c>
      <c r="K155" s="230" t="str">
        <f>_xlfn.XLOOKUP(I155,'Order Page'!W$24:W$393,'Order Page'!U$24:U$393,"")</f>
        <v/>
      </c>
      <c r="L155" s="230" t="str">
        <f>_xlfn.XLOOKUP(I155,'Order Page'!W$24:W$393,'Order Page'!S$24:S$393,"")</f>
        <v/>
      </c>
      <c r="M155" s="230" t="str">
        <f>_xlfn.XLOOKUP(I155,'Order Page'!W$24:W$393,'Order Page'!B$24:B$393,"")</f>
        <v/>
      </c>
      <c r="N155" s="230" t="str">
        <f>_xlfn.XLOOKUP(I155,'Order Page'!W$24:W$393,'Order Page'!F$24:F$393,"")</f>
        <v/>
      </c>
      <c r="O155" s="249"/>
      <c r="P155" s="249"/>
      <c r="Q155" s="249"/>
    </row>
    <row r="156" spans="1:17" x14ac:dyDescent="0.15">
      <c r="A156" s="241" t="str">
        <f t="shared" si="11"/>
        <v/>
      </c>
      <c r="B156" s="246" t="str">
        <f t="shared" si="14"/>
        <v/>
      </c>
      <c r="C156" s="252" t="str">
        <f t="shared" si="10"/>
        <v/>
      </c>
      <c r="D156" s="243" t="str">
        <f t="shared" si="12"/>
        <v/>
      </c>
      <c r="E156" s="248" t="str">
        <f t="shared" si="13"/>
        <v/>
      </c>
      <c r="F156" s="249"/>
      <c r="G156" s="249"/>
      <c r="H156" s="249"/>
      <c r="I156" s="230">
        <v>152</v>
      </c>
      <c r="J156" s="230" t="str">
        <f>_xlfn.XLOOKUP(I156,'Order Page'!W$24:W$393,'Order Page'!C$24:C$393,"")</f>
        <v/>
      </c>
      <c r="K156" s="230" t="str">
        <f>_xlfn.XLOOKUP(I156,'Order Page'!W$24:W$393,'Order Page'!U$24:U$393,"")</f>
        <v/>
      </c>
      <c r="L156" s="230" t="str">
        <f>_xlfn.XLOOKUP(I156,'Order Page'!W$24:W$393,'Order Page'!S$24:S$393,"")</f>
        <v/>
      </c>
      <c r="M156" s="230" t="str">
        <f>_xlfn.XLOOKUP(I156,'Order Page'!W$24:W$393,'Order Page'!B$24:B$393,"")</f>
        <v/>
      </c>
      <c r="N156" s="230" t="str">
        <f>_xlfn.XLOOKUP(I156,'Order Page'!W$24:W$393,'Order Page'!F$24:F$393,"")</f>
        <v/>
      </c>
      <c r="O156" s="249"/>
      <c r="P156" s="249"/>
      <c r="Q156" s="249"/>
    </row>
    <row r="157" spans="1:17" x14ac:dyDescent="0.15">
      <c r="A157" s="241" t="str">
        <f t="shared" si="11"/>
        <v/>
      </c>
      <c r="B157" s="246" t="str">
        <f t="shared" si="14"/>
        <v/>
      </c>
      <c r="C157" s="252" t="str">
        <f t="shared" si="10"/>
        <v/>
      </c>
      <c r="D157" s="243" t="str">
        <f t="shared" si="12"/>
        <v/>
      </c>
      <c r="E157" s="248" t="str">
        <f t="shared" si="13"/>
        <v/>
      </c>
      <c r="I157" s="230">
        <v>153</v>
      </c>
      <c r="J157" s="230" t="str">
        <f>_xlfn.XLOOKUP(I157,'Order Page'!W$24:W$393,'Order Page'!C$24:C$393,"")</f>
        <v/>
      </c>
      <c r="K157" s="230" t="str">
        <f>_xlfn.XLOOKUP(I157,'Order Page'!W$24:W$393,'Order Page'!U$24:U$393,"")</f>
        <v/>
      </c>
      <c r="L157" s="230" t="str">
        <f>_xlfn.XLOOKUP(I157,'Order Page'!W$24:W$393,'Order Page'!S$24:S$393,"")</f>
        <v/>
      </c>
      <c r="M157" s="230" t="str">
        <f>_xlfn.XLOOKUP(I157,'Order Page'!W$24:W$393,'Order Page'!B$24:B$393,"")</f>
        <v/>
      </c>
      <c r="N157" s="230" t="str">
        <f>_xlfn.XLOOKUP(I157,'Order Page'!W$24:W$393,'Order Page'!F$24:F$393,"")</f>
        <v/>
      </c>
    </row>
    <row r="158" spans="1:17" x14ac:dyDescent="0.15">
      <c r="A158" s="241" t="str">
        <f t="shared" si="11"/>
        <v/>
      </c>
      <c r="B158" s="246" t="str">
        <f t="shared" si="14"/>
        <v/>
      </c>
      <c r="C158" s="252" t="str">
        <f t="shared" si="10"/>
        <v/>
      </c>
      <c r="D158" s="243" t="str">
        <f t="shared" si="12"/>
        <v/>
      </c>
      <c r="E158" s="248" t="str">
        <f t="shared" si="13"/>
        <v/>
      </c>
      <c r="I158" s="230">
        <v>154</v>
      </c>
      <c r="J158" s="230" t="str">
        <f>_xlfn.XLOOKUP(I158,'Order Page'!W$24:W$393,'Order Page'!C$24:C$393,"")</f>
        <v/>
      </c>
      <c r="K158" s="230" t="str">
        <f>_xlfn.XLOOKUP(I158,'Order Page'!W$24:W$393,'Order Page'!U$24:U$393,"")</f>
        <v/>
      </c>
      <c r="L158" s="230" t="str">
        <f>_xlfn.XLOOKUP(I158,'Order Page'!W$24:W$393,'Order Page'!S$24:S$393,"")</f>
        <v/>
      </c>
      <c r="M158" s="230" t="str">
        <f>_xlfn.XLOOKUP(I158,'Order Page'!W$24:W$393,'Order Page'!B$24:B$393,"")</f>
        <v/>
      </c>
      <c r="N158" s="230" t="str">
        <f>_xlfn.XLOOKUP(I158,'Order Page'!W$24:W$393,'Order Page'!F$24:F$393,"")</f>
        <v/>
      </c>
    </row>
    <row r="159" spans="1:17" x14ac:dyDescent="0.15">
      <c r="A159" s="241" t="str">
        <f t="shared" si="11"/>
        <v/>
      </c>
      <c r="B159" s="246" t="str">
        <f t="shared" si="14"/>
        <v/>
      </c>
      <c r="C159" s="252" t="str">
        <f t="shared" si="10"/>
        <v/>
      </c>
      <c r="D159" s="243" t="str">
        <f t="shared" si="12"/>
        <v/>
      </c>
      <c r="E159" s="248" t="str">
        <f t="shared" si="13"/>
        <v/>
      </c>
      <c r="I159" s="230">
        <v>155</v>
      </c>
      <c r="J159" s="230" t="str">
        <f>_xlfn.XLOOKUP(I159,'Order Page'!W$24:W$393,'Order Page'!C$24:C$393,"")</f>
        <v/>
      </c>
      <c r="K159" s="230" t="str">
        <f>_xlfn.XLOOKUP(I159,'Order Page'!W$24:W$393,'Order Page'!U$24:U$393,"")</f>
        <v/>
      </c>
      <c r="L159" s="230" t="str">
        <f>_xlfn.XLOOKUP(I159,'Order Page'!W$24:W$393,'Order Page'!S$24:S$393,"")</f>
        <v/>
      </c>
      <c r="M159" s="230" t="str">
        <f>_xlfn.XLOOKUP(I159,'Order Page'!W$24:W$393,'Order Page'!B$24:B$393,"")</f>
        <v/>
      </c>
      <c r="N159" s="230" t="str">
        <f>_xlfn.XLOOKUP(I159,'Order Page'!W$24:W$393,'Order Page'!F$24:F$393,"")</f>
        <v/>
      </c>
    </row>
    <row r="160" spans="1:17" x14ac:dyDescent="0.15">
      <c r="A160" s="241" t="str">
        <f t="shared" si="11"/>
        <v/>
      </c>
      <c r="B160" s="246" t="str">
        <f t="shared" si="14"/>
        <v/>
      </c>
      <c r="C160" s="252" t="str">
        <f t="shared" si="10"/>
        <v/>
      </c>
      <c r="D160" s="243" t="str">
        <f t="shared" si="12"/>
        <v/>
      </c>
      <c r="E160" s="248" t="str">
        <f t="shared" si="13"/>
        <v/>
      </c>
      <c r="I160" s="230">
        <v>156</v>
      </c>
      <c r="J160" s="230" t="str">
        <f>_xlfn.XLOOKUP(I160,'Order Page'!W$24:W$393,'Order Page'!C$24:C$393,"")</f>
        <v/>
      </c>
      <c r="K160" s="230" t="str">
        <f>_xlfn.XLOOKUP(I160,'Order Page'!W$24:W$393,'Order Page'!U$24:U$393,"")</f>
        <v/>
      </c>
      <c r="L160" s="230" t="str">
        <f>_xlfn.XLOOKUP(I160,'Order Page'!W$24:W$393,'Order Page'!S$24:S$393,"")</f>
        <v/>
      </c>
      <c r="M160" s="230" t="str">
        <f>_xlfn.XLOOKUP(I160,'Order Page'!W$24:W$393,'Order Page'!B$24:B$393,"")</f>
        <v/>
      </c>
      <c r="N160" s="230" t="str">
        <f>_xlfn.XLOOKUP(I160,'Order Page'!W$24:W$393,'Order Page'!F$24:F$393,"")</f>
        <v/>
      </c>
    </row>
    <row r="161" spans="1:14" x14ac:dyDescent="0.15">
      <c r="A161" s="241" t="str">
        <f t="shared" si="11"/>
        <v/>
      </c>
      <c r="B161" s="246" t="str">
        <f t="shared" si="14"/>
        <v/>
      </c>
      <c r="C161" s="252" t="str">
        <f t="shared" si="10"/>
        <v/>
      </c>
      <c r="D161" s="243" t="str">
        <f t="shared" si="12"/>
        <v/>
      </c>
      <c r="E161" s="248" t="str">
        <f t="shared" si="13"/>
        <v/>
      </c>
      <c r="I161" s="230">
        <v>157</v>
      </c>
      <c r="J161" s="230" t="str">
        <f>_xlfn.XLOOKUP(I161,'Order Page'!W$24:W$393,'Order Page'!C$24:C$393,"")</f>
        <v/>
      </c>
      <c r="K161" s="230" t="str">
        <f>_xlfn.XLOOKUP(I161,'Order Page'!W$24:W$393,'Order Page'!U$24:U$393,"")</f>
        <v/>
      </c>
      <c r="L161" s="230" t="str">
        <f>_xlfn.XLOOKUP(I161,'Order Page'!W$24:W$393,'Order Page'!S$24:S$393,"")</f>
        <v/>
      </c>
      <c r="M161" s="230" t="str">
        <f>_xlfn.XLOOKUP(I161,'Order Page'!W$24:W$393,'Order Page'!B$24:B$393,"")</f>
        <v/>
      </c>
      <c r="N161" s="230" t="str">
        <f>_xlfn.XLOOKUP(I161,'Order Page'!W$24:W$393,'Order Page'!F$24:F$393,"")</f>
        <v/>
      </c>
    </row>
    <row r="162" spans="1:14" x14ac:dyDescent="0.15">
      <c r="A162" s="241" t="str">
        <f t="shared" si="11"/>
        <v/>
      </c>
      <c r="B162" s="246" t="str">
        <f t="shared" si="14"/>
        <v/>
      </c>
      <c r="C162" s="252" t="str">
        <f t="shared" si="10"/>
        <v/>
      </c>
      <c r="D162" s="243" t="str">
        <f t="shared" si="12"/>
        <v/>
      </c>
      <c r="E162" s="248" t="str">
        <f t="shared" si="13"/>
        <v/>
      </c>
      <c r="I162" s="230">
        <v>158</v>
      </c>
      <c r="J162" s="230" t="str">
        <f>_xlfn.XLOOKUP(I162,'Order Page'!W$24:W$393,'Order Page'!C$24:C$393,"")</f>
        <v/>
      </c>
      <c r="K162" s="230" t="str">
        <f>_xlfn.XLOOKUP(I162,'Order Page'!W$24:W$393,'Order Page'!U$24:U$393,"")</f>
        <v/>
      </c>
      <c r="L162" s="230" t="str">
        <f>_xlfn.XLOOKUP(I162,'Order Page'!W$24:W$393,'Order Page'!S$24:S$393,"")</f>
        <v/>
      </c>
      <c r="M162" s="230" t="str">
        <f>_xlfn.XLOOKUP(I162,'Order Page'!W$24:W$393,'Order Page'!B$24:B$393,"")</f>
        <v/>
      </c>
      <c r="N162" s="230" t="str">
        <f>_xlfn.XLOOKUP(I162,'Order Page'!W$24:W$393,'Order Page'!F$24:F$393,"")</f>
        <v/>
      </c>
    </row>
    <row r="163" spans="1:14" x14ac:dyDescent="0.15">
      <c r="A163" s="241" t="str">
        <f t="shared" si="11"/>
        <v/>
      </c>
      <c r="B163" s="246" t="str">
        <f t="shared" si="14"/>
        <v/>
      </c>
      <c r="C163" s="252" t="str">
        <f t="shared" si="10"/>
        <v/>
      </c>
      <c r="D163" s="243" t="str">
        <f t="shared" si="12"/>
        <v/>
      </c>
      <c r="E163" s="248" t="str">
        <f t="shared" si="13"/>
        <v/>
      </c>
      <c r="I163" s="230">
        <v>159</v>
      </c>
      <c r="J163" s="230" t="str">
        <f>_xlfn.XLOOKUP(I163,'Order Page'!W$24:W$393,'Order Page'!C$24:C$393,"")</f>
        <v/>
      </c>
      <c r="K163" s="230" t="str">
        <f>_xlfn.XLOOKUP(I163,'Order Page'!W$24:W$393,'Order Page'!U$24:U$393,"")</f>
        <v/>
      </c>
      <c r="L163" s="230" t="str">
        <f>_xlfn.XLOOKUP(I163,'Order Page'!W$24:W$393,'Order Page'!S$24:S$393,"")</f>
        <v/>
      </c>
      <c r="M163" s="230" t="str">
        <f>_xlfn.XLOOKUP(I163,'Order Page'!W$24:W$393,'Order Page'!B$24:B$393,"")</f>
        <v/>
      </c>
      <c r="N163" s="230" t="str">
        <f>_xlfn.XLOOKUP(I163,'Order Page'!W$24:W$393,'Order Page'!F$24:F$393,"")</f>
        <v/>
      </c>
    </row>
    <row r="164" spans="1:14" x14ac:dyDescent="0.15">
      <c r="A164" s="241" t="str">
        <f t="shared" si="11"/>
        <v/>
      </c>
      <c r="B164" s="246" t="str">
        <f t="shared" si="14"/>
        <v/>
      </c>
      <c r="C164" s="252" t="str">
        <f t="shared" si="10"/>
        <v/>
      </c>
      <c r="D164" s="243" t="str">
        <f t="shared" si="12"/>
        <v/>
      </c>
      <c r="E164" s="248" t="str">
        <f t="shared" si="13"/>
        <v/>
      </c>
      <c r="I164" s="230">
        <v>160</v>
      </c>
      <c r="J164" s="230" t="str">
        <f>_xlfn.XLOOKUP(I164,'Order Page'!W$24:W$393,'Order Page'!C$24:C$393,"")</f>
        <v/>
      </c>
      <c r="K164" s="230" t="str">
        <f>_xlfn.XLOOKUP(I164,'Order Page'!W$24:W$393,'Order Page'!U$24:U$393,"")</f>
        <v/>
      </c>
      <c r="L164" s="230" t="str">
        <f>_xlfn.XLOOKUP(I164,'Order Page'!W$24:W$393,'Order Page'!S$24:S$393,"")</f>
        <v/>
      </c>
      <c r="M164" s="230" t="str">
        <f>_xlfn.XLOOKUP(I164,'Order Page'!W$24:W$393,'Order Page'!B$24:B$393,"")</f>
        <v/>
      </c>
      <c r="N164" s="230" t="str">
        <f>_xlfn.XLOOKUP(I164,'Order Page'!W$24:W$393,'Order Page'!F$24:F$393,"")</f>
        <v/>
      </c>
    </row>
    <row r="165" spans="1:14" x14ac:dyDescent="0.15">
      <c r="A165" s="241"/>
      <c r="B165" s="246"/>
      <c r="C165" s="253"/>
      <c r="D165" s="243"/>
      <c r="E165" s="248"/>
    </row>
    <row r="166" spans="1:14" x14ac:dyDescent="0.15">
      <c r="A166" s="234"/>
      <c r="B166" s="234"/>
      <c r="C166" s="254"/>
      <c r="D166" s="234"/>
      <c r="E166" s="234"/>
    </row>
    <row r="167" spans="1:14" x14ac:dyDescent="0.15">
      <c r="A167" s="234"/>
      <c r="B167" s="234"/>
      <c r="C167" s="254"/>
      <c r="D167" s="234"/>
      <c r="E167" s="234"/>
    </row>
    <row r="168" spans="1:14" x14ac:dyDescent="0.15">
      <c r="A168" s="234"/>
      <c r="B168" s="234"/>
      <c r="C168" s="254"/>
      <c r="D168" s="234"/>
      <c r="E168" s="234"/>
    </row>
  </sheetData>
  <mergeCells count="2">
    <mergeCell ref="D1:E1"/>
    <mergeCell ref="D4:E4"/>
  </mergeCells>
  <conditionalFormatting sqref="A5:A165">
    <cfRule type="expression" dxfId="9" priority="7" stopIfTrue="1">
      <formula>LEN(TRIM(A5))&gt;0</formula>
    </cfRule>
  </conditionalFormatting>
  <conditionalFormatting sqref="A5:XFD164">
    <cfRule type="expression" dxfId="8" priority="3" stopIfTrue="1">
      <formula>$B6=Total</formula>
    </cfRule>
  </conditionalFormatting>
  <conditionalFormatting sqref="B5:C164">
    <cfRule type="expression" dxfId="7" priority="4" stopIfTrue="1">
      <formula>NOT(ISERROR(SEARCH("Total",B5)))</formula>
    </cfRule>
  </conditionalFormatting>
  <conditionalFormatting sqref="B4:D4">
    <cfRule type="expression" priority="2" stopIfTrue="1">
      <formula>LEN(TRIM(B4))=0</formula>
    </cfRule>
  </conditionalFormatting>
  <conditionalFormatting sqref="B5:E165">
    <cfRule type="expression" dxfId="6" priority="5" stopIfTrue="1">
      <formula>LEFT(B5,LEN("Total"))="Total"</formula>
    </cfRule>
    <cfRule type="expression" priority="6" stopIfTrue="1">
      <formula>LEN(TRIM(B5))=0</formula>
    </cfRule>
  </conditionalFormatting>
  <conditionalFormatting sqref="F4:H4 A4:D164 I4:XFD164 E5:H164">
    <cfRule type="expression" dxfId="5" priority="1" stopIfTrue="1">
      <formula>$B$6=Total</formula>
    </cfRule>
  </conditionalFormatting>
  <pageMargins left="0.7" right="0.7" top="0.75" bottom="0.75" header="0.3" footer="0.3"/>
  <pageSetup paperSize="9" orientation="portrait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4C5763B-4591-493F-968C-61CB36FE3A7E}">
  <dimension ref="A1:BN269"/>
  <sheetViews>
    <sheetView topLeftCell="A237" workbookViewId="0">
      <selection activeCell="C264" sqref="C264"/>
    </sheetView>
  </sheetViews>
  <sheetFormatPr defaultRowHeight="15" x14ac:dyDescent="0.25"/>
  <cols>
    <col min="2" max="2" width="16.28515625" customWidth="1"/>
    <col min="3" max="3" width="11.140625" bestFit="1" customWidth="1"/>
    <col min="4" max="4" width="11" bestFit="1" customWidth="1"/>
    <col min="5" max="5" width="18" customWidth="1"/>
    <col min="7" max="7" width="9.5703125" bestFit="1" customWidth="1"/>
    <col min="13" max="13" width="22.7109375" bestFit="1" customWidth="1"/>
    <col min="19" max="19" width="9.140625" customWidth="1"/>
    <col min="21" max="21" width="7.28515625" customWidth="1"/>
    <col min="22" max="22" width="3.85546875" customWidth="1"/>
    <col min="23" max="23" width="14" customWidth="1"/>
    <col min="24" max="24" width="6.5703125" bestFit="1" customWidth="1"/>
    <col min="25" max="25" width="20.85546875" customWidth="1"/>
    <col min="30" max="30" width="31" customWidth="1"/>
    <col min="31" max="31" width="7" bestFit="1" customWidth="1"/>
    <col min="32" max="32" width="6.5703125" bestFit="1" customWidth="1"/>
    <col min="33" max="33" width="39.5703125" bestFit="1" customWidth="1"/>
    <col min="34" max="34" width="8.85546875" customWidth="1"/>
    <col min="43" max="43" width="8.140625" bestFit="1" customWidth="1"/>
    <col min="52" max="52" width="6.5703125" bestFit="1" customWidth="1"/>
    <col min="53" max="53" width="30.5703125" bestFit="1" customWidth="1"/>
  </cols>
  <sheetData>
    <row r="1" spans="2:58" x14ac:dyDescent="0.25">
      <c r="AL1" s="21" t="s">
        <v>654</v>
      </c>
      <c r="AM1">
        <f>MAX(AM4:AM203)</f>
        <v>0</v>
      </c>
      <c r="AP1" s="21" t="s">
        <v>659</v>
      </c>
      <c r="AQ1" s="265">
        <f>SUMIF(AO4:AO203,"Y",AI4:AI203)</f>
        <v>0</v>
      </c>
      <c r="AR1">
        <f>IF(AQ1&gt;1,1,0)</f>
        <v>0</v>
      </c>
      <c r="AW1" s="266" t="s">
        <v>669</v>
      </c>
    </row>
    <row r="2" spans="2:58" x14ac:dyDescent="0.25">
      <c r="Q2" s="263"/>
      <c r="AL2" s="21" t="s">
        <v>663</v>
      </c>
      <c r="AM2">
        <f>COUNTIF(AP4:AP203,"Y")</f>
        <v>0</v>
      </c>
      <c r="BC2">
        <f>SUM(BC4:BC16)</f>
        <v>0</v>
      </c>
      <c r="BD2">
        <f>SUM(BD4:BD16)</f>
        <v>0</v>
      </c>
      <c r="BE2" t="s">
        <v>665</v>
      </c>
    </row>
    <row r="3" spans="2:58" x14ac:dyDescent="0.25">
      <c r="L3" t="s">
        <v>616</v>
      </c>
      <c r="N3" t="s">
        <v>559</v>
      </c>
      <c r="O3" t="s">
        <v>618</v>
      </c>
      <c r="P3" t="s">
        <v>594</v>
      </c>
      <c r="Q3" s="263"/>
      <c r="R3" s="260" t="s">
        <v>594</v>
      </c>
      <c r="S3" s="260" t="s">
        <v>649</v>
      </c>
      <c r="T3" s="260" t="s">
        <v>616</v>
      </c>
      <c r="U3" s="260" t="s">
        <v>620</v>
      </c>
      <c r="W3" t="s">
        <v>619</v>
      </c>
      <c r="X3" t="s">
        <v>559</v>
      </c>
      <c r="Y3" t="s">
        <v>605</v>
      </c>
      <c r="AB3" t="s">
        <v>616</v>
      </c>
      <c r="AD3" t="s">
        <v>619</v>
      </c>
      <c r="AE3" t="s">
        <v>570</v>
      </c>
      <c r="AF3" t="s">
        <v>559</v>
      </c>
      <c r="AG3" t="s">
        <v>605</v>
      </c>
      <c r="AH3" t="s">
        <v>651</v>
      </c>
      <c r="AI3" s="387" t="s">
        <v>650</v>
      </c>
      <c r="AJ3" s="387"/>
      <c r="AK3" s="387" t="s">
        <v>652</v>
      </c>
      <c r="AL3" s="387"/>
      <c r="AM3" t="s">
        <v>611</v>
      </c>
      <c r="AO3" t="s">
        <v>653</v>
      </c>
      <c r="AP3" t="s">
        <v>664</v>
      </c>
      <c r="AS3" t="s">
        <v>719</v>
      </c>
      <c r="AT3" t="s">
        <v>720</v>
      </c>
      <c r="AU3" t="s">
        <v>711</v>
      </c>
      <c r="AV3" t="s">
        <v>712</v>
      </c>
      <c r="AY3" t="s">
        <v>660</v>
      </c>
      <c r="AZ3" t="s">
        <v>559</v>
      </c>
      <c r="BA3" t="s">
        <v>560</v>
      </c>
      <c r="BC3" t="s">
        <v>661</v>
      </c>
      <c r="BD3" t="s">
        <v>662</v>
      </c>
      <c r="BE3" t="s">
        <v>611</v>
      </c>
    </row>
    <row r="4" spans="2:58" x14ac:dyDescent="0.25">
      <c r="B4" t="s">
        <v>605</v>
      </c>
      <c r="C4" t="s">
        <v>559</v>
      </c>
      <c r="D4" t="s">
        <v>648</v>
      </c>
      <c r="F4" t="s">
        <v>607</v>
      </c>
      <c r="G4" t="s">
        <v>606</v>
      </c>
      <c r="H4" t="s">
        <v>610</v>
      </c>
      <c r="I4" t="s">
        <v>611</v>
      </c>
      <c r="J4" t="s">
        <v>570</v>
      </c>
      <c r="L4">
        <v>1</v>
      </c>
      <c r="M4">
        <f>_xlfn.XLOOKUP(L4,'Order Page'!X$27:X$393,'Order Page'!T$27:T$393,0)</f>
        <v>0</v>
      </c>
      <c r="N4">
        <f>_xlfn.XLOOKUP(L4,'Order Page'!X$27:X$393,'Order Page'!R$27:R$393,0)</f>
        <v>0</v>
      </c>
      <c r="O4" t="str">
        <f>IF(M4&lt;&gt;0,_xlfn.XLOOKUP(M4,B$38:B$46,C$38:C$46,"")+_xlfn.XLOOKUP(N4,G$38:G$45,H$38:H$45,0)+L4,"")</f>
        <v/>
      </c>
      <c r="P4" t="str">
        <f t="shared" ref="P4:P35" si="0">IFERROR(IF(O4&gt;0,RANK(O4,O$4:O$154,1)-1,0),"")</f>
        <v/>
      </c>
      <c r="Q4" s="263"/>
      <c r="R4">
        <v>1</v>
      </c>
      <c r="S4">
        <v>1</v>
      </c>
      <c r="T4">
        <f>_xlfn.XLOOKUP(R4,P$4:P$153,L$4:L$153,0)</f>
        <v>0</v>
      </c>
      <c r="U4">
        <f>_xlfn.XLOOKUP(T4,'Order Page'!X$27:X$393,'Order Page'!U$27:U$393,"")</f>
        <v>0</v>
      </c>
      <c r="W4" t="str">
        <f t="shared" ref="W4:W35" si="1">_xlfn.XLOOKUP(T4,L$4:L$153,M$4:M$153,"")</f>
        <v/>
      </c>
      <c r="X4" t="str">
        <f t="shared" ref="X4:X35" si="2">_xlfn.XLOOKUP(T4,L$4:L$153,N$4:N$153,"")</f>
        <v/>
      </c>
      <c r="Y4" t="str">
        <f>_xlfn.XLOOKUP(T4,'Order Page'!X$27:X$393,'Order Page'!C$27:C$393,"")</f>
        <v>Acorus Calamus</v>
      </c>
      <c r="Z4" s="264"/>
      <c r="AA4">
        <v>1</v>
      </c>
      <c r="AB4">
        <f>T4</f>
        <v>0</v>
      </c>
      <c r="AD4" t="str">
        <f t="shared" ref="AD4:AD35" si="3">_xlfn.XLOOKUP(AB4,L$4:L$153,M$4:M$153,"")</f>
        <v/>
      </c>
      <c r="AE4" t="e">
        <f>_xlfn.XLOOKUP(AD4,B$5:B$33,J$5:J$33)</f>
        <v>#N/A</v>
      </c>
      <c r="AF4" t="str">
        <f t="shared" ref="AF4:AF35" si="4">_xlfn.XLOOKUP(AB4,L$4:L$153,N$4:N$153,"")</f>
        <v/>
      </c>
      <c r="AG4" t="str">
        <f>_xlfn.XLOOKUP(AB4,'Order Page'!X$27:X$393,'Order Page'!C$27:C$393,"")</f>
        <v>Acorus Calamus</v>
      </c>
      <c r="AH4">
        <f>_xlfn.XLOOKUP(AD4&amp;AF4,E$5:E$35,H$5:H$35,0)</f>
        <v>0</v>
      </c>
      <c r="AI4">
        <f t="shared" ref="AI4:AI35" si="5">_xlfn.XLOOKUP(AD4,B$5:B$35,D$5:D$35,0)</f>
        <v>0</v>
      </c>
      <c r="AJ4">
        <f>IF(AH4&gt;0,AI4,0)</f>
        <v>0</v>
      </c>
      <c r="AK4">
        <f>IF(AJ4&lt;AH4+0.001,ROUNDUP(AJ4,0),0)</f>
        <v>0</v>
      </c>
      <c r="AL4">
        <v>0</v>
      </c>
      <c r="AM4">
        <f>IF(AK4&gt;0,AK4+AL4,0)</f>
        <v>0</v>
      </c>
      <c r="AO4" s="25" t="str">
        <f>IF(AND(AM4=0,AI4&gt;0),"Y","")</f>
        <v/>
      </c>
      <c r="AP4" s="25" t="str">
        <f t="shared" ref="AP4:AP35" si="6">IF(AND(AO4="Y",OR(AD4="Waterlily",AD4="Planted Contour Basket Standard",AD4="Planted Contour Basket Premium")),"Y","")</f>
        <v/>
      </c>
      <c r="AQ4" t="str">
        <f>IF(AO4="Y",IF(AD4="Waterlily",1000,IF(OR(AD4="Planted Contour Basket Standard", AD4="Planted Contour Basket Premium"),2000,(100-AF4)*100))+AA4,"")</f>
        <v/>
      </c>
      <c r="AR4" t="str">
        <f t="shared" ref="AR4:AR35" si="7">IFERROR(IF(AQ4&gt;0,RANK(AQ4,AQ$4:AQ$203,1),0)-AM$2,"")</f>
        <v/>
      </c>
      <c r="AS4">
        <f t="shared" ref="AS4:AS35" si="8">AM4+IF(AR4&lt;1,_xlfn.XLOOKUP(AR4,AX$4:AX$16,BE$4:BE$16,0))+IF(AR4&gt;0,_xlfn.XLOOKUP(AR4,AX$22:AX$103,BN$22:BN$103,0),0)</f>
        <v>0</v>
      </c>
      <c r="AT4">
        <f>_xlfn.XLOOKUP(AS4,A$218:A$237,I$218:I$237,0)</f>
        <v>0</v>
      </c>
      <c r="AU4" t="str">
        <f>_xlfn.XLOOKUP(AB4,'Order Page'!X$24:X$378,'Order Page'!B$24:B$378,0)</f>
        <v>x6</v>
      </c>
      <c r="AV4">
        <f>_xlfn.XLOOKUP(AB4,'Order Page'!X$24:X$378,'Order Page'!O$24:O$378,0)</f>
        <v>38</v>
      </c>
      <c r="AW4" s="264"/>
      <c r="AX4">
        <v>0</v>
      </c>
      <c r="AY4">
        <f t="shared" ref="AY4:AY16" si="9">_xlfn.XLOOKUP(AX4,AR$4:AR$203,AB$4:AB$203,0)</f>
        <v>0</v>
      </c>
      <c r="AZ4">
        <f t="shared" ref="AZ4:AZ16" si="10">_xlfn.XLOOKUP(AY4,L$4:L$153,N$4:N$153,0)</f>
        <v>0</v>
      </c>
      <c r="BA4">
        <f t="shared" ref="BA4:BA16" si="11">_xlfn.XLOOKUP(AY4,L$4:L$153,M$4:M$153,0)</f>
        <v>0</v>
      </c>
      <c r="BB4">
        <f t="shared" ref="BB4:BB16" si="12">_xlfn.XLOOKUP(BA4,B$38:B$46,D$38:D$46,0)</f>
        <v>0</v>
      </c>
      <c r="BC4">
        <f>IF(BA4="Waterlily",BB4,0)</f>
        <v>0</v>
      </c>
      <c r="BD4">
        <f>IF(OR(BA4="Planted Contour Basket Standard", BA4="Planted Contour Basket Premium"),BB4,0)</f>
        <v>0</v>
      </c>
      <c r="BE4">
        <f>IF(BC4+BD4&gt;0,AM1+1,0)</f>
        <v>0</v>
      </c>
      <c r="BF4">
        <f t="shared" ref="BF4:BF16" si="13">_xlfn.XLOOKUP(BA4,B$5:B$33,J$5:J$33,0)</f>
        <v>0</v>
      </c>
    </row>
    <row r="5" spans="2:58" x14ac:dyDescent="0.25">
      <c r="B5" t="s">
        <v>562</v>
      </c>
      <c r="C5">
        <v>25</v>
      </c>
      <c r="D5">
        <v>7.0999999999999994E-2</v>
      </c>
      <c r="E5" t="s">
        <v>621</v>
      </c>
      <c r="F5">
        <f>SUMIF('Order Page'!R$27:R$101,TB!C5,'Order Page'!U$27:U$101)</f>
        <v>0</v>
      </c>
      <c r="G5" s="262">
        <f>F5/14</f>
        <v>0</v>
      </c>
      <c r="H5">
        <f>IF(G5&gt;=1,ROUNDDOWN(G5,0),0)</f>
        <v>0</v>
      </c>
      <c r="I5">
        <f>IF(H5&gt;0,1,0)</f>
        <v>0</v>
      </c>
      <c r="J5">
        <v>2</v>
      </c>
      <c r="L5">
        <v>2</v>
      </c>
      <c r="M5">
        <f>_xlfn.XLOOKUP(L5,'Order Page'!X$27:X$393,'Order Page'!T$27:T$393,0)</f>
        <v>0</v>
      </c>
      <c r="N5">
        <f>_xlfn.XLOOKUP(L5,'Order Page'!X$27:X$393,'Order Page'!R$27:R$393,0)</f>
        <v>0</v>
      </c>
      <c r="O5" t="str">
        <f t="shared" ref="O5:O35" si="14">IF(M5&lt;&gt;0,_xlfn.XLOOKUP(M5,B$38:B$46,C$38:C$46,"")+_xlfn.XLOOKUP(N5,G$38:G$45,H$38:H$45,0)+L5,"")</f>
        <v/>
      </c>
      <c r="P5" t="str">
        <f t="shared" si="0"/>
        <v/>
      </c>
      <c r="Q5" s="263"/>
      <c r="R5">
        <v>2</v>
      </c>
      <c r="S5">
        <f t="shared" ref="S5:S36" si="15">S4+U4</f>
        <v>1</v>
      </c>
      <c r="T5">
        <f t="shared" ref="T5:T35" si="16">_xlfn.XLOOKUP(R5,P$4:P$153,L$4:L$153,0)</f>
        <v>0</v>
      </c>
      <c r="U5">
        <f>_xlfn.XLOOKUP(T5,'Order Page'!X$27:X$393,'Order Page'!U$27:U$393,"")</f>
        <v>0</v>
      </c>
      <c r="W5" t="str">
        <f t="shared" si="1"/>
        <v/>
      </c>
      <c r="X5" t="str">
        <f t="shared" si="2"/>
        <v/>
      </c>
      <c r="Y5" t="str">
        <f>_xlfn.XLOOKUP(T5,'Order Page'!X$27:X$393,'Order Page'!C$27:C$393,"")</f>
        <v>Acorus Calamus</v>
      </c>
      <c r="Z5" s="264"/>
      <c r="AA5">
        <v>2</v>
      </c>
      <c r="AB5" cm="1">
        <f t="array" ref="AB5">VLOOKUP(ROW(2:2),S$4:T$153,2)</f>
        <v>0</v>
      </c>
      <c r="AD5" t="str">
        <f t="shared" si="3"/>
        <v/>
      </c>
      <c r="AE5" t="e">
        <f>_xlfn.XLOOKUP(AD5,B$5:B$33,J$5:J$33)</f>
        <v>#N/A</v>
      </c>
      <c r="AF5" t="str">
        <f t="shared" si="4"/>
        <v/>
      </c>
      <c r="AG5" t="str">
        <f>_xlfn.XLOOKUP(AB5,'Order Page'!X$27:X$393,'Order Page'!C$27:C$393,"")</f>
        <v>Acorus Calamus</v>
      </c>
      <c r="AH5">
        <f>_xlfn.XLOOKUP(AD5&amp;AF5,E$5:E$35,H$5:H$35,0)</f>
        <v>0</v>
      </c>
      <c r="AI5">
        <f t="shared" si="5"/>
        <v>0</v>
      </c>
      <c r="AJ5">
        <f>IF(AND(AD5&amp;AF5=AD4&amp;AF4,AH5&gt;0),AJ4+AI5,IF(AH5&gt;0,AI5,0))</f>
        <v>0</v>
      </c>
      <c r="AK5">
        <f t="shared" ref="AK5:AK68" si="17">IF(AJ5&lt;AH5+0.001,ROUNDUP(AJ5,0),0)</f>
        <v>0</v>
      </c>
      <c r="AL5">
        <f>IF(OR(AD4&amp;AF4&lt;&gt;AD5&amp;AF5,AK5&lt;AK4),AK4,0)+MAX(AL$4:AL4)</f>
        <v>0</v>
      </c>
      <c r="AM5">
        <f t="shared" ref="AM5:AM68" si="18">IF(AK5&gt;0,AK5+AL5,0)</f>
        <v>0</v>
      </c>
      <c r="AO5" s="25" t="str">
        <f t="shared" ref="AO5:AO68" si="19">IF(AND(AM5=0,AI5&gt;0),"Y","")</f>
        <v/>
      </c>
      <c r="AP5" s="25" t="str">
        <f t="shared" si="6"/>
        <v/>
      </c>
      <c r="AQ5" t="str">
        <f t="shared" ref="AQ5:AQ68" si="20">IF(AO5="Y",IF(AD5="Waterlily",1000,IF(OR(AD5="Planted Contour Basket Standard", AD5="Planted Contour Basket Premium"),2000,(100-AF5)*100))+AA5,"")</f>
        <v/>
      </c>
      <c r="AR5" t="str">
        <f t="shared" si="7"/>
        <v/>
      </c>
      <c r="AS5">
        <f t="shared" si="8"/>
        <v>0</v>
      </c>
      <c r="AT5">
        <f t="shared" ref="AT5:AT68" si="21">_xlfn.XLOOKUP(AS5,A$218:A$237,I$218:I$237,0)</f>
        <v>0</v>
      </c>
      <c r="AU5" t="str">
        <f>_xlfn.XLOOKUP(AB5,'Order Page'!X$24:X$378,'Order Page'!B$24:B$378,0)</f>
        <v>x6</v>
      </c>
      <c r="AV5">
        <f>_xlfn.XLOOKUP(AB5,'Order Page'!X$24:X$378,'Order Page'!O$24:O$378,0)</f>
        <v>38</v>
      </c>
      <c r="AW5" s="264"/>
      <c r="AX5">
        <v>-1</v>
      </c>
      <c r="AY5">
        <f t="shared" si="9"/>
        <v>0</v>
      </c>
      <c r="AZ5">
        <f t="shared" si="10"/>
        <v>0</v>
      </c>
      <c r="BA5">
        <f t="shared" si="11"/>
        <v>0</v>
      </c>
      <c r="BB5">
        <f t="shared" si="12"/>
        <v>0</v>
      </c>
      <c r="BC5">
        <f t="shared" ref="BC5" si="22">IF(BA5="Waterlily",BB5,0)</f>
        <v>0</v>
      </c>
      <c r="BD5">
        <f>IF(OR(BA5="Planted Contour Basket Standard", BA5="Planted Contour Basket Premium"),BB5,0)</f>
        <v>0</v>
      </c>
      <c r="BE5">
        <f>IF(BD5&gt;0,AM$1+ROUNDUP(SUM(BD$4:BD5),0),0)+IF(BC5&gt;0,IF(BC4&gt;0,BE4-1+ROUNDUP(SUM(BC$4:BC5),0),BE4+AR$1),0)</f>
        <v>0</v>
      </c>
      <c r="BF5">
        <f t="shared" si="13"/>
        <v>0</v>
      </c>
    </row>
    <row r="6" spans="2:58" x14ac:dyDescent="0.25">
      <c r="B6" t="s">
        <v>562</v>
      </c>
      <c r="C6">
        <v>30</v>
      </c>
      <c r="D6">
        <v>7.0999999999999994E-2</v>
      </c>
      <c r="E6" t="s">
        <v>622</v>
      </c>
      <c r="F6">
        <f>SUMIF('Order Page'!R$27:R$101,TB!C6,'Order Page'!U$27:U$101)</f>
        <v>0</v>
      </c>
      <c r="G6" s="262">
        <f t="shared" ref="G6:G12" si="23">F6/14</f>
        <v>0</v>
      </c>
      <c r="H6">
        <f t="shared" ref="H6:H33" si="24">IF(G6&gt;=1,ROUNDDOWN(G6,0),0)</f>
        <v>0</v>
      </c>
      <c r="I6">
        <f>IF(H6&gt;0,MAX(I$5:I5)+1,0)</f>
        <v>0</v>
      </c>
      <c r="J6">
        <v>2</v>
      </c>
      <c r="L6">
        <v>3</v>
      </c>
      <c r="M6">
        <f>_xlfn.XLOOKUP(L6,'Order Page'!X$27:X$393,'Order Page'!T$27:T$393,0)</f>
        <v>0</v>
      </c>
      <c r="N6">
        <f>_xlfn.XLOOKUP(L6,'Order Page'!X$27:X$393,'Order Page'!R$27:R$393,0)</f>
        <v>0</v>
      </c>
      <c r="O6" t="str">
        <f t="shared" si="14"/>
        <v/>
      </c>
      <c r="P6" t="str">
        <f t="shared" si="0"/>
        <v/>
      </c>
      <c r="Q6" s="263"/>
      <c r="R6">
        <v>3</v>
      </c>
      <c r="S6">
        <f t="shared" si="15"/>
        <v>1</v>
      </c>
      <c r="T6">
        <f t="shared" si="16"/>
        <v>0</v>
      </c>
      <c r="U6">
        <f>_xlfn.XLOOKUP(T6,'Order Page'!X$27:X$393,'Order Page'!U$27:U$393,"")</f>
        <v>0</v>
      </c>
      <c r="W6" t="str">
        <f t="shared" si="1"/>
        <v/>
      </c>
      <c r="X6" t="str">
        <f t="shared" si="2"/>
        <v/>
      </c>
      <c r="Y6" t="str">
        <f>_xlfn.XLOOKUP(T6,'Order Page'!X$27:X$393,'Order Page'!C$27:C$393,"")</f>
        <v>Acorus Calamus</v>
      </c>
      <c r="Z6" s="264"/>
      <c r="AA6">
        <v>3</v>
      </c>
      <c r="AB6" cm="1">
        <f t="array" ref="AB6">VLOOKUP(ROW(3:3),S$4:T$153,2)</f>
        <v>0</v>
      </c>
      <c r="AD6" t="str">
        <f t="shared" si="3"/>
        <v/>
      </c>
      <c r="AE6" t="e">
        <f t="shared" ref="AE6:AE68" si="25">_xlfn.XLOOKUP(AD6,B$5:B$33,J$5:J$33)</f>
        <v>#N/A</v>
      </c>
      <c r="AF6" t="str">
        <f t="shared" si="4"/>
        <v/>
      </c>
      <c r="AG6" t="str">
        <f>_xlfn.XLOOKUP(AB6,'Order Page'!X$27:X$393,'Order Page'!C$27:C$393,"")</f>
        <v>Acorus Calamus</v>
      </c>
      <c r="AH6">
        <f t="shared" ref="AH6:AH35" si="26">_xlfn.XLOOKUP(AD6&amp;AF6,E$5:E$35,H$5:H$35,0)</f>
        <v>0</v>
      </c>
      <c r="AI6">
        <f t="shared" si="5"/>
        <v>0</v>
      </c>
      <c r="AJ6">
        <f t="shared" ref="AJ6:AJ69" si="27">IF(AND(AD6&amp;AF6=AD5&amp;AF5,AH6&gt;0),AJ5+AI6,IF(AH6&gt;0,AI6,0))</f>
        <v>0</v>
      </c>
      <c r="AK6">
        <f t="shared" si="17"/>
        <v>0</v>
      </c>
      <c r="AL6">
        <f>IF(OR(AD5&amp;AF5&lt;&gt;AD6&amp;AF6,AK6&lt;AK5),AK5,0)+MAX(AL$4:AL5)</f>
        <v>0</v>
      </c>
      <c r="AM6">
        <f t="shared" si="18"/>
        <v>0</v>
      </c>
      <c r="AO6" s="25" t="str">
        <f t="shared" si="19"/>
        <v/>
      </c>
      <c r="AP6" s="25" t="str">
        <f t="shared" si="6"/>
        <v/>
      </c>
      <c r="AQ6" t="str">
        <f t="shared" si="20"/>
        <v/>
      </c>
      <c r="AR6" t="str">
        <f t="shared" si="7"/>
        <v/>
      </c>
      <c r="AS6">
        <f t="shared" si="8"/>
        <v>0</v>
      </c>
      <c r="AT6">
        <f t="shared" si="21"/>
        <v>0</v>
      </c>
      <c r="AU6" t="str">
        <f>_xlfn.XLOOKUP(AB6,'Order Page'!X$24:X$378,'Order Page'!B$24:B$378,0)</f>
        <v>x6</v>
      </c>
      <c r="AV6">
        <f>_xlfn.XLOOKUP(AB6,'Order Page'!X$24:X$378,'Order Page'!O$24:O$378,0)</f>
        <v>38</v>
      </c>
      <c r="AW6" s="264"/>
      <c r="AX6">
        <v>-2</v>
      </c>
      <c r="AY6">
        <f t="shared" si="9"/>
        <v>0</v>
      </c>
      <c r="AZ6">
        <f t="shared" si="10"/>
        <v>0</v>
      </c>
      <c r="BA6">
        <f t="shared" si="11"/>
        <v>0</v>
      </c>
      <c r="BB6">
        <f t="shared" si="12"/>
        <v>0</v>
      </c>
      <c r="BC6">
        <f>IF(BA6="Waterlily",BB6,0)</f>
        <v>0</v>
      </c>
      <c r="BD6">
        <f t="shared" ref="BD6:BD16" si="28">IF(OR(BA6="Planted Contour Basket Standard", BA6="Planted Contour Basket Premium"),BB6,0)</f>
        <v>0</v>
      </c>
      <c r="BE6">
        <f>IF(BD6&gt;0,AM$1+ROUNDUP(SUM(BD$4:BD6),0),0)+IF(BC6&gt;0,IF(BC5&gt;0,BE5-1+ROUNDUP(SUM(BC$4:BC6),0),BE5+AR$1),0)</f>
        <v>0</v>
      </c>
      <c r="BF6">
        <f t="shared" si="13"/>
        <v>0</v>
      </c>
    </row>
    <row r="7" spans="2:58" x14ac:dyDescent="0.25">
      <c r="B7" t="s">
        <v>562</v>
      </c>
      <c r="C7">
        <v>35</v>
      </c>
      <c r="D7">
        <v>7.0999999999999994E-2</v>
      </c>
      <c r="E7" t="s">
        <v>623</v>
      </c>
      <c r="F7">
        <f>SUMIF('Order Page'!R$27:R$101,TB!C7,'Order Page'!U$27:U$101)</f>
        <v>0</v>
      </c>
      <c r="G7" s="262">
        <f t="shared" si="23"/>
        <v>0</v>
      </c>
      <c r="H7">
        <f t="shared" si="24"/>
        <v>0</v>
      </c>
      <c r="I7">
        <f>IF(H7&gt;0,MAX(I$5:I6)+1,0)</f>
        <v>0</v>
      </c>
      <c r="J7">
        <v>2</v>
      </c>
      <c r="L7">
        <v>4</v>
      </c>
      <c r="M7">
        <f>_xlfn.XLOOKUP(L7,'Order Page'!X$27:X$393,'Order Page'!T$27:T$393,0)</f>
        <v>0</v>
      </c>
      <c r="N7">
        <f>_xlfn.XLOOKUP(L7,'Order Page'!X$27:X$393,'Order Page'!R$27:R$393,0)</f>
        <v>0</v>
      </c>
      <c r="O7" t="str">
        <f t="shared" si="14"/>
        <v/>
      </c>
      <c r="P7" t="str">
        <f t="shared" si="0"/>
        <v/>
      </c>
      <c r="Q7" s="263"/>
      <c r="R7">
        <v>4</v>
      </c>
      <c r="S7">
        <f t="shared" si="15"/>
        <v>1</v>
      </c>
      <c r="T7">
        <f t="shared" si="16"/>
        <v>0</v>
      </c>
      <c r="U7">
        <f>_xlfn.XLOOKUP(T7,'Order Page'!X$27:X$393,'Order Page'!U$27:U$393,"")</f>
        <v>0</v>
      </c>
      <c r="W7" t="str">
        <f t="shared" si="1"/>
        <v/>
      </c>
      <c r="X7" t="str">
        <f t="shared" si="2"/>
        <v/>
      </c>
      <c r="Y7" t="str">
        <f>_xlfn.XLOOKUP(T7,'Order Page'!X$27:X$393,'Order Page'!C$27:C$393,"")</f>
        <v>Acorus Calamus</v>
      </c>
      <c r="Z7" s="264"/>
      <c r="AA7">
        <v>4</v>
      </c>
      <c r="AB7" cm="1">
        <f t="array" ref="AB7">VLOOKUP(ROW(4:4),S$4:T$153,2)</f>
        <v>0</v>
      </c>
      <c r="AD7" t="str">
        <f t="shared" si="3"/>
        <v/>
      </c>
      <c r="AE7" t="e">
        <f t="shared" si="25"/>
        <v>#N/A</v>
      </c>
      <c r="AF7" t="str">
        <f t="shared" si="4"/>
        <v/>
      </c>
      <c r="AG7" t="str">
        <f>_xlfn.XLOOKUP(AB7,'Order Page'!X$27:X$393,'Order Page'!C$27:C$393,"")</f>
        <v>Acorus Calamus</v>
      </c>
      <c r="AH7">
        <f t="shared" si="26"/>
        <v>0</v>
      </c>
      <c r="AI7">
        <f t="shared" si="5"/>
        <v>0</v>
      </c>
      <c r="AJ7">
        <f t="shared" si="27"/>
        <v>0</v>
      </c>
      <c r="AK7">
        <f t="shared" si="17"/>
        <v>0</v>
      </c>
      <c r="AL7">
        <f>IF(OR(AD6&amp;AF6&lt;&gt;AD7&amp;AF7,AK7&lt;AK6),AK6,0)+MAX(AL$4:AL6)</f>
        <v>0</v>
      </c>
      <c r="AM7">
        <f t="shared" si="18"/>
        <v>0</v>
      </c>
      <c r="AO7" s="25" t="str">
        <f t="shared" si="19"/>
        <v/>
      </c>
      <c r="AP7" s="25" t="str">
        <f t="shared" si="6"/>
        <v/>
      </c>
      <c r="AQ7" t="str">
        <f t="shared" si="20"/>
        <v/>
      </c>
      <c r="AR7" t="str">
        <f t="shared" si="7"/>
        <v/>
      </c>
      <c r="AS7">
        <f t="shared" si="8"/>
        <v>0</v>
      </c>
      <c r="AT7">
        <f t="shared" si="21"/>
        <v>0</v>
      </c>
      <c r="AU7" t="str">
        <f>_xlfn.XLOOKUP(AB7,'Order Page'!X$24:X$378,'Order Page'!B$24:B$378,0)</f>
        <v>x6</v>
      </c>
      <c r="AV7">
        <f>_xlfn.XLOOKUP(AB7,'Order Page'!X$24:X$378,'Order Page'!O$24:O$378,0)</f>
        <v>38</v>
      </c>
      <c r="AW7" s="264"/>
      <c r="AX7">
        <v>-3</v>
      </c>
      <c r="AY7">
        <f t="shared" si="9"/>
        <v>0</v>
      </c>
      <c r="AZ7">
        <f t="shared" si="10"/>
        <v>0</v>
      </c>
      <c r="BA7">
        <f t="shared" si="11"/>
        <v>0</v>
      </c>
      <c r="BB7">
        <f t="shared" si="12"/>
        <v>0</v>
      </c>
      <c r="BC7">
        <f t="shared" ref="BC7:BC16" si="29">IF(BA7="Waterlily",BB7,0)</f>
        <v>0</v>
      </c>
      <c r="BD7">
        <f t="shared" si="28"/>
        <v>0</v>
      </c>
      <c r="BE7">
        <f>IF(BD7&gt;0,AM$1+ROUNDUP(SUM(BD$4:BD7),0),0)+IF(BC7&gt;0,IF(BC6&gt;0,BE6-1+ROUNDUP(SUM(BC$4:BC7),0),BE6+AR$1),0)</f>
        <v>0</v>
      </c>
      <c r="BF7">
        <f t="shared" si="13"/>
        <v>0</v>
      </c>
    </row>
    <row r="8" spans="2:58" x14ac:dyDescent="0.25">
      <c r="B8" t="s">
        <v>562</v>
      </c>
      <c r="C8">
        <v>40</v>
      </c>
      <c r="D8">
        <v>7.0999999999999994E-2</v>
      </c>
      <c r="E8" t="s">
        <v>624</v>
      </c>
      <c r="F8">
        <f>SUMIF('Order Page'!R$27:R$101,TB!C8,'Order Page'!U$27:U$101)</f>
        <v>0</v>
      </c>
      <c r="G8" s="262">
        <f t="shared" si="23"/>
        <v>0</v>
      </c>
      <c r="H8">
        <f t="shared" si="24"/>
        <v>0</v>
      </c>
      <c r="I8">
        <f>IF(H8&gt;0,MAX(I$5:I7)+1,0)</f>
        <v>0</v>
      </c>
      <c r="J8">
        <v>2</v>
      </c>
      <c r="L8">
        <v>5</v>
      </c>
      <c r="M8">
        <f>_xlfn.XLOOKUP(L8,'Order Page'!X$27:X$393,'Order Page'!T$27:T$393,0)</f>
        <v>0</v>
      </c>
      <c r="N8">
        <f>_xlfn.XLOOKUP(L8,'Order Page'!X$27:X$393,'Order Page'!R$27:R$393,0)</f>
        <v>0</v>
      </c>
      <c r="O8" t="str">
        <f t="shared" si="14"/>
        <v/>
      </c>
      <c r="P8" t="str">
        <f t="shared" si="0"/>
        <v/>
      </c>
      <c r="Q8" s="263"/>
      <c r="R8">
        <v>5</v>
      </c>
      <c r="S8">
        <f t="shared" si="15"/>
        <v>1</v>
      </c>
      <c r="T8">
        <f t="shared" si="16"/>
        <v>0</v>
      </c>
      <c r="U8">
        <f>_xlfn.XLOOKUP(T8,'Order Page'!X$27:X$393,'Order Page'!U$27:U$393,"")</f>
        <v>0</v>
      </c>
      <c r="W8" t="str">
        <f t="shared" si="1"/>
        <v/>
      </c>
      <c r="X8" t="str">
        <f t="shared" si="2"/>
        <v/>
      </c>
      <c r="Y8" t="str">
        <f>_xlfn.XLOOKUP(T8,'Order Page'!X$27:X$393,'Order Page'!C$27:C$393,"")</f>
        <v>Acorus Calamus</v>
      </c>
      <c r="Z8" s="264"/>
      <c r="AA8">
        <v>5</v>
      </c>
      <c r="AB8" cm="1">
        <f t="array" ref="AB8">VLOOKUP(ROW(5:5),S$4:T$153,2)</f>
        <v>0</v>
      </c>
      <c r="AD8" t="str">
        <f t="shared" si="3"/>
        <v/>
      </c>
      <c r="AE8" t="e">
        <f t="shared" si="25"/>
        <v>#N/A</v>
      </c>
      <c r="AF8" t="str">
        <f t="shared" si="4"/>
        <v/>
      </c>
      <c r="AG8" t="str">
        <f>_xlfn.XLOOKUP(AB8,'Order Page'!X$27:X$393,'Order Page'!C$27:C$393,"")</f>
        <v>Acorus Calamus</v>
      </c>
      <c r="AH8">
        <f t="shared" si="26"/>
        <v>0</v>
      </c>
      <c r="AI8">
        <f t="shared" si="5"/>
        <v>0</v>
      </c>
      <c r="AJ8">
        <f t="shared" si="27"/>
        <v>0</v>
      </c>
      <c r="AK8">
        <f t="shared" si="17"/>
        <v>0</v>
      </c>
      <c r="AL8">
        <f>IF(OR(AD7&amp;AF7&lt;&gt;AD8&amp;AF8,AK8&lt;AK7),AK7,0)+MAX(AL$4:AL7)</f>
        <v>0</v>
      </c>
      <c r="AM8">
        <f t="shared" si="18"/>
        <v>0</v>
      </c>
      <c r="AO8" s="25" t="str">
        <f t="shared" si="19"/>
        <v/>
      </c>
      <c r="AP8" s="25" t="str">
        <f t="shared" si="6"/>
        <v/>
      </c>
      <c r="AQ8" t="str">
        <f t="shared" si="20"/>
        <v/>
      </c>
      <c r="AR8" t="str">
        <f t="shared" si="7"/>
        <v/>
      </c>
      <c r="AS8">
        <f t="shared" si="8"/>
        <v>0</v>
      </c>
      <c r="AT8">
        <f t="shared" si="21"/>
        <v>0</v>
      </c>
      <c r="AU8" t="str">
        <f>_xlfn.XLOOKUP(AB8,'Order Page'!X$24:X$378,'Order Page'!B$24:B$378,0)</f>
        <v>x6</v>
      </c>
      <c r="AV8">
        <f>_xlfn.XLOOKUP(AB8,'Order Page'!X$24:X$378,'Order Page'!O$24:O$378,0)</f>
        <v>38</v>
      </c>
      <c r="AW8" s="264"/>
      <c r="AX8">
        <v>-4</v>
      </c>
      <c r="AY8">
        <f t="shared" si="9"/>
        <v>0</v>
      </c>
      <c r="AZ8">
        <f t="shared" si="10"/>
        <v>0</v>
      </c>
      <c r="BA8">
        <f t="shared" si="11"/>
        <v>0</v>
      </c>
      <c r="BB8">
        <f t="shared" si="12"/>
        <v>0</v>
      </c>
      <c r="BC8">
        <f t="shared" si="29"/>
        <v>0</v>
      </c>
      <c r="BD8">
        <f t="shared" si="28"/>
        <v>0</v>
      </c>
      <c r="BE8">
        <f>IF(BD8&gt;0,AM$1+ROUNDUP(SUM(BD$4:BD8),0),0)+IF(BC8&gt;0,IF(BC7&gt;0,BE7-1+ROUNDUP(SUM(BC$4:BC8),0),BE7+AR$1),0)</f>
        <v>0</v>
      </c>
      <c r="BF8">
        <f t="shared" si="13"/>
        <v>0</v>
      </c>
    </row>
    <row r="9" spans="2:58" x14ac:dyDescent="0.25">
      <c r="B9" t="s">
        <v>562</v>
      </c>
      <c r="C9">
        <v>45</v>
      </c>
      <c r="D9">
        <v>7.0999999999999994E-2</v>
      </c>
      <c r="E9" t="s">
        <v>625</v>
      </c>
      <c r="F9">
        <f>SUMIF('Order Page'!R$27:R$101,TB!C9,'Order Page'!U$27:U$101)</f>
        <v>0</v>
      </c>
      <c r="G9" s="262">
        <f t="shared" si="23"/>
        <v>0</v>
      </c>
      <c r="H9">
        <f t="shared" si="24"/>
        <v>0</v>
      </c>
      <c r="I9">
        <f>IF(H9&gt;0,MAX(I$5:I8)+1,0)</f>
        <v>0</v>
      </c>
      <c r="J9">
        <v>2</v>
      </c>
      <c r="L9">
        <v>6</v>
      </c>
      <c r="M9">
        <f>_xlfn.XLOOKUP(L9,'Order Page'!X$27:X$393,'Order Page'!T$27:T$393,0)</f>
        <v>0</v>
      </c>
      <c r="N9">
        <f>_xlfn.XLOOKUP(L9,'Order Page'!X$27:X$393,'Order Page'!R$27:R$393,0)</f>
        <v>0</v>
      </c>
      <c r="O9" t="str">
        <f t="shared" si="14"/>
        <v/>
      </c>
      <c r="P9" t="str">
        <f t="shared" si="0"/>
        <v/>
      </c>
      <c r="Q9" s="263"/>
      <c r="R9">
        <v>6</v>
      </c>
      <c r="S9">
        <f t="shared" si="15"/>
        <v>1</v>
      </c>
      <c r="T9">
        <f t="shared" si="16"/>
        <v>0</v>
      </c>
      <c r="U9">
        <f>_xlfn.XLOOKUP(T9,'Order Page'!X$27:X$393,'Order Page'!U$27:U$393,"")</f>
        <v>0</v>
      </c>
      <c r="W9" t="str">
        <f t="shared" si="1"/>
        <v/>
      </c>
      <c r="X9" t="str">
        <f t="shared" si="2"/>
        <v/>
      </c>
      <c r="Y9" t="str">
        <f>_xlfn.XLOOKUP(T9,'Order Page'!X$27:X$393,'Order Page'!C$27:C$393,"")</f>
        <v>Acorus Calamus</v>
      </c>
      <c r="Z9" s="264"/>
      <c r="AA9">
        <v>6</v>
      </c>
      <c r="AB9" cm="1">
        <f t="array" ref="AB9">VLOOKUP(ROW(6:6),S$4:T$153,2)</f>
        <v>0</v>
      </c>
      <c r="AD9" t="str">
        <f t="shared" si="3"/>
        <v/>
      </c>
      <c r="AE9" t="e">
        <f t="shared" si="25"/>
        <v>#N/A</v>
      </c>
      <c r="AF9" t="str">
        <f t="shared" si="4"/>
        <v/>
      </c>
      <c r="AG9" t="str">
        <f>_xlfn.XLOOKUP(AB9,'Order Page'!X$27:X$393,'Order Page'!C$27:C$393,"")</f>
        <v>Acorus Calamus</v>
      </c>
      <c r="AH9">
        <f t="shared" si="26"/>
        <v>0</v>
      </c>
      <c r="AI9">
        <f t="shared" si="5"/>
        <v>0</v>
      </c>
      <c r="AJ9">
        <f t="shared" si="27"/>
        <v>0</v>
      </c>
      <c r="AK9">
        <f t="shared" si="17"/>
        <v>0</v>
      </c>
      <c r="AL9">
        <f>IF(OR(AD8&amp;AF8&lt;&gt;AD9&amp;AF9,AK9&lt;AK8),AK8,0)+MAX(AL$4:AL8)</f>
        <v>0</v>
      </c>
      <c r="AM9">
        <f t="shared" si="18"/>
        <v>0</v>
      </c>
      <c r="AO9" s="25" t="str">
        <f t="shared" si="19"/>
        <v/>
      </c>
      <c r="AP9" s="25" t="str">
        <f t="shared" si="6"/>
        <v/>
      </c>
      <c r="AQ9" t="str">
        <f t="shared" si="20"/>
        <v/>
      </c>
      <c r="AR9" t="str">
        <f t="shared" si="7"/>
        <v/>
      </c>
      <c r="AS9">
        <f t="shared" si="8"/>
        <v>0</v>
      </c>
      <c r="AT9">
        <f t="shared" si="21"/>
        <v>0</v>
      </c>
      <c r="AU9" t="str">
        <f>_xlfn.XLOOKUP(AB9,'Order Page'!X$24:X$378,'Order Page'!B$24:B$378,0)</f>
        <v>x6</v>
      </c>
      <c r="AV9">
        <f>_xlfn.XLOOKUP(AB9,'Order Page'!X$24:X$378,'Order Page'!O$24:O$378,0)</f>
        <v>38</v>
      </c>
      <c r="AW9" s="264"/>
      <c r="AX9">
        <v>-5</v>
      </c>
      <c r="AY9">
        <f t="shared" si="9"/>
        <v>0</v>
      </c>
      <c r="AZ9">
        <f t="shared" si="10"/>
        <v>0</v>
      </c>
      <c r="BA9">
        <f t="shared" si="11"/>
        <v>0</v>
      </c>
      <c r="BB9">
        <f t="shared" si="12"/>
        <v>0</v>
      </c>
      <c r="BC9">
        <f t="shared" si="29"/>
        <v>0</v>
      </c>
      <c r="BD9">
        <f t="shared" si="28"/>
        <v>0</v>
      </c>
      <c r="BE9">
        <f>IF(BD9&gt;0,AM$1+ROUNDUP(SUM(BD$4:BD9),0),0)+IF(BC9&gt;0,IF(BC8&gt;0,BE8-1+ROUNDUP(SUM(BC$4:BC9),0),BE8+AR$1),0)</f>
        <v>0</v>
      </c>
      <c r="BF9">
        <f t="shared" si="13"/>
        <v>0</v>
      </c>
    </row>
    <row r="10" spans="2:58" x14ac:dyDescent="0.25">
      <c r="B10" t="s">
        <v>562</v>
      </c>
      <c r="C10">
        <v>50</v>
      </c>
      <c r="D10">
        <v>7.0999999999999994E-2</v>
      </c>
      <c r="E10" t="s">
        <v>626</v>
      </c>
      <c r="F10">
        <f>SUMIF('Order Page'!R$27:R$101,TB!C10,'Order Page'!U$27:U$101)</f>
        <v>0</v>
      </c>
      <c r="G10" s="262">
        <f t="shared" si="23"/>
        <v>0</v>
      </c>
      <c r="H10">
        <f t="shared" si="24"/>
        <v>0</v>
      </c>
      <c r="I10">
        <f>IF(H10&gt;0,MAX(I$5:I9)+1,0)</f>
        <v>0</v>
      </c>
      <c r="J10">
        <v>2</v>
      </c>
      <c r="L10">
        <v>7</v>
      </c>
      <c r="M10">
        <f>_xlfn.XLOOKUP(L10,'Order Page'!X$27:X$393,'Order Page'!T$27:T$393,0)</f>
        <v>0</v>
      </c>
      <c r="N10">
        <f>_xlfn.XLOOKUP(L10,'Order Page'!X$27:X$393,'Order Page'!R$27:R$393,0)</f>
        <v>0</v>
      </c>
      <c r="O10" t="str">
        <f t="shared" si="14"/>
        <v/>
      </c>
      <c r="P10" t="str">
        <f t="shared" si="0"/>
        <v/>
      </c>
      <c r="Q10" s="263"/>
      <c r="R10">
        <v>7</v>
      </c>
      <c r="S10">
        <f t="shared" si="15"/>
        <v>1</v>
      </c>
      <c r="T10">
        <f t="shared" si="16"/>
        <v>0</v>
      </c>
      <c r="U10">
        <f>_xlfn.XLOOKUP(T10,'Order Page'!X$27:X$393,'Order Page'!U$27:U$393,"")</f>
        <v>0</v>
      </c>
      <c r="W10" t="str">
        <f t="shared" si="1"/>
        <v/>
      </c>
      <c r="X10" t="str">
        <f t="shared" si="2"/>
        <v/>
      </c>
      <c r="Y10" t="str">
        <f>_xlfn.XLOOKUP(T10,'Order Page'!X$27:X$393,'Order Page'!C$27:C$393,"")</f>
        <v>Acorus Calamus</v>
      </c>
      <c r="Z10" s="264"/>
      <c r="AA10">
        <v>7</v>
      </c>
      <c r="AB10" cm="1">
        <f t="array" ref="AB10">VLOOKUP(ROW(7:7),S$4:T$153,2)</f>
        <v>0</v>
      </c>
      <c r="AD10" t="str">
        <f t="shared" si="3"/>
        <v/>
      </c>
      <c r="AE10" t="e">
        <f t="shared" si="25"/>
        <v>#N/A</v>
      </c>
      <c r="AF10" t="str">
        <f t="shared" si="4"/>
        <v/>
      </c>
      <c r="AG10" t="str">
        <f>_xlfn.XLOOKUP(AB10,'Order Page'!X$27:X$393,'Order Page'!C$27:C$393,"")</f>
        <v>Acorus Calamus</v>
      </c>
      <c r="AH10">
        <f t="shared" si="26"/>
        <v>0</v>
      </c>
      <c r="AI10">
        <f t="shared" si="5"/>
        <v>0</v>
      </c>
      <c r="AJ10">
        <f t="shared" si="27"/>
        <v>0</v>
      </c>
      <c r="AK10">
        <f t="shared" si="17"/>
        <v>0</v>
      </c>
      <c r="AL10">
        <f>IF(OR(AD9&amp;AF9&lt;&gt;AD10&amp;AF10,AK10&lt;AK9),AK9,0)+MAX(AL$4:AL9)</f>
        <v>0</v>
      </c>
      <c r="AM10">
        <f t="shared" si="18"/>
        <v>0</v>
      </c>
      <c r="AO10" s="25" t="str">
        <f t="shared" si="19"/>
        <v/>
      </c>
      <c r="AP10" s="25" t="str">
        <f t="shared" si="6"/>
        <v/>
      </c>
      <c r="AQ10" t="str">
        <f t="shared" si="20"/>
        <v/>
      </c>
      <c r="AR10" t="str">
        <f t="shared" si="7"/>
        <v/>
      </c>
      <c r="AS10">
        <f t="shared" si="8"/>
        <v>0</v>
      </c>
      <c r="AT10">
        <f t="shared" si="21"/>
        <v>0</v>
      </c>
      <c r="AU10" t="str">
        <f>_xlfn.XLOOKUP(AB10,'Order Page'!X$24:X$378,'Order Page'!B$24:B$378,0)</f>
        <v>x6</v>
      </c>
      <c r="AV10">
        <f>_xlfn.XLOOKUP(AB10,'Order Page'!X$24:X$378,'Order Page'!O$24:O$378,0)</f>
        <v>38</v>
      </c>
      <c r="AW10" s="264"/>
      <c r="AX10">
        <v>-6</v>
      </c>
      <c r="AY10">
        <f t="shared" si="9"/>
        <v>0</v>
      </c>
      <c r="AZ10">
        <f t="shared" si="10"/>
        <v>0</v>
      </c>
      <c r="BA10">
        <f t="shared" si="11"/>
        <v>0</v>
      </c>
      <c r="BB10">
        <f t="shared" si="12"/>
        <v>0</v>
      </c>
      <c r="BC10">
        <f t="shared" si="29"/>
        <v>0</v>
      </c>
      <c r="BD10">
        <f t="shared" si="28"/>
        <v>0</v>
      </c>
      <c r="BE10">
        <f>IF(BD10&gt;0,AM$1+ROUNDUP(SUM(BD$4:BD10),0),0)+IF(BC10&gt;0,IF(BC9&gt;0,BE9-1+ROUNDUP(SUM(BC$4:BC10),0),BE9+AR$1),0)</f>
        <v>0</v>
      </c>
      <c r="BF10">
        <f t="shared" si="13"/>
        <v>0</v>
      </c>
    </row>
    <row r="11" spans="2:58" x14ac:dyDescent="0.25">
      <c r="B11" t="s">
        <v>562</v>
      </c>
      <c r="C11">
        <v>55</v>
      </c>
      <c r="D11">
        <v>7.0999999999999994E-2</v>
      </c>
      <c r="E11" t="s">
        <v>627</v>
      </c>
      <c r="F11">
        <f>SUMIF('Order Page'!R$27:R$101,TB!C11,'Order Page'!U$27:U$101)</f>
        <v>0</v>
      </c>
      <c r="G11" s="262">
        <f t="shared" si="23"/>
        <v>0</v>
      </c>
      <c r="H11">
        <f t="shared" si="24"/>
        <v>0</v>
      </c>
      <c r="I11">
        <f>IF(H11&gt;0,MAX(I$5:I10)+1,0)</f>
        <v>0</v>
      </c>
      <c r="J11">
        <v>2</v>
      </c>
      <c r="L11">
        <v>8</v>
      </c>
      <c r="M11">
        <f>_xlfn.XLOOKUP(L11,'Order Page'!X$27:X$393,'Order Page'!T$27:T$393,0)</f>
        <v>0</v>
      </c>
      <c r="N11">
        <f>_xlfn.XLOOKUP(L11,'Order Page'!X$27:X$393,'Order Page'!R$27:R$393,0)</f>
        <v>0</v>
      </c>
      <c r="O11" t="str">
        <f t="shared" si="14"/>
        <v/>
      </c>
      <c r="P11" t="str">
        <f t="shared" si="0"/>
        <v/>
      </c>
      <c r="Q11" s="263"/>
      <c r="R11">
        <v>8</v>
      </c>
      <c r="S11">
        <f t="shared" si="15"/>
        <v>1</v>
      </c>
      <c r="T11">
        <f t="shared" si="16"/>
        <v>0</v>
      </c>
      <c r="U11">
        <f>_xlfn.XLOOKUP(T11,'Order Page'!X$27:X$393,'Order Page'!U$27:U$393,"")</f>
        <v>0</v>
      </c>
      <c r="W11" t="str">
        <f t="shared" si="1"/>
        <v/>
      </c>
      <c r="X11" t="str">
        <f t="shared" si="2"/>
        <v/>
      </c>
      <c r="Y11" t="str">
        <f>_xlfn.XLOOKUP(T11,'Order Page'!X$27:X$393,'Order Page'!C$27:C$393,"")</f>
        <v>Acorus Calamus</v>
      </c>
      <c r="Z11" s="264"/>
      <c r="AA11">
        <v>8</v>
      </c>
      <c r="AB11" cm="1">
        <f t="array" ref="AB11">VLOOKUP(ROW(8:8),S$4:T$153,2)</f>
        <v>0</v>
      </c>
      <c r="AD11" t="str">
        <f t="shared" si="3"/>
        <v/>
      </c>
      <c r="AE11" t="e">
        <f t="shared" si="25"/>
        <v>#N/A</v>
      </c>
      <c r="AF11" t="str">
        <f t="shared" si="4"/>
        <v/>
      </c>
      <c r="AG11" t="str">
        <f>_xlfn.XLOOKUP(AB11,'Order Page'!X$27:X$393,'Order Page'!C$27:C$393,"")</f>
        <v>Acorus Calamus</v>
      </c>
      <c r="AH11">
        <f t="shared" si="26"/>
        <v>0</v>
      </c>
      <c r="AI11">
        <f t="shared" si="5"/>
        <v>0</v>
      </c>
      <c r="AJ11">
        <f t="shared" si="27"/>
        <v>0</v>
      </c>
      <c r="AK11">
        <f t="shared" si="17"/>
        <v>0</v>
      </c>
      <c r="AL11">
        <f>IF(OR(AD10&amp;AF10&lt;&gt;AD11&amp;AF11,AK11&lt;AK10),AK10,0)+MAX(AL$4:AL10)</f>
        <v>0</v>
      </c>
      <c r="AM11">
        <f t="shared" si="18"/>
        <v>0</v>
      </c>
      <c r="AO11" s="25" t="str">
        <f t="shared" si="19"/>
        <v/>
      </c>
      <c r="AP11" s="25" t="str">
        <f t="shared" si="6"/>
        <v/>
      </c>
      <c r="AQ11" t="str">
        <f t="shared" si="20"/>
        <v/>
      </c>
      <c r="AR11" t="str">
        <f t="shared" si="7"/>
        <v/>
      </c>
      <c r="AS11">
        <f t="shared" si="8"/>
        <v>0</v>
      </c>
      <c r="AT11">
        <f t="shared" si="21"/>
        <v>0</v>
      </c>
      <c r="AU11" t="str">
        <f>_xlfn.XLOOKUP(AB11,'Order Page'!X$24:X$378,'Order Page'!B$24:B$378,0)</f>
        <v>x6</v>
      </c>
      <c r="AV11">
        <f>_xlfn.XLOOKUP(AB11,'Order Page'!X$24:X$378,'Order Page'!O$24:O$378,0)</f>
        <v>38</v>
      </c>
      <c r="AW11" s="264"/>
      <c r="AX11">
        <v>-7</v>
      </c>
      <c r="AY11">
        <f t="shared" si="9"/>
        <v>0</v>
      </c>
      <c r="AZ11">
        <f t="shared" si="10"/>
        <v>0</v>
      </c>
      <c r="BA11">
        <f t="shared" si="11"/>
        <v>0</v>
      </c>
      <c r="BB11">
        <f t="shared" si="12"/>
        <v>0</v>
      </c>
      <c r="BC11">
        <f t="shared" si="29"/>
        <v>0</v>
      </c>
      <c r="BD11">
        <f t="shared" si="28"/>
        <v>0</v>
      </c>
      <c r="BE11">
        <f>IF(BD11&gt;0,AM$1+ROUNDUP(SUM(BD$4:BD11),0),0)+IF(BC11&gt;0,IF(BC10&gt;0,BE10-1+ROUNDUP(SUM(BC$4:BC11),0),BE10+AR$1),0)</f>
        <v>0</v>
      </c>
      <c r="BF11">
        <f t="shared" si="13"/>
        <v>0</v>
      </c>
    </row>
    <row r="12" spans="2:58" x14ac:dyDescent="0.25">
      <c r="B12" t="s">
        <v>562</v>
      </c>
      <c r="C12">
        <v>60</v>
      </c>
      <c r="D12">
        <v>7.0999999999999994E-2</v>
      </c>
      <c r="E12" t="s">
        <v>628</v>
      </c>
      <c r="F12">
        <f>SUMIF('Order Page'!R$27:R$101,TB!C12,'Order Page'!U$27:U$101)</f>
        <v>0</v>
      </c>
      <c r="G12" s="262">
        <f t="shared" si="23"/>
        <v>0</v>
      </c>
      <c r="H12">
        <f t="shared" si="24"/>
        <v>0</v>
      </c>
      <c r="I12">
        <f>IF(H12&gt;0,MAX(I$5:I11)+1,0)</f>
        <v>0</v>
      </c>
      <c r="J12">
        <v>2</v>
      </c>
      <c r="L12">
        <v>9</v>
      </c>
      <c r="M12">
        <f>_xlfn.XLOOKUP(L12,'Order Page'!X$27:X$393,'Order Page'!T$27:T$393,0)</f>
        <v>0</v>
      </c>
      <c r="N12">
        <f>_xlfn.XLOOKUP(L12,'Order Page'!X$27:X$393,'Order Page'!R$27:R$393,0)</f>
        <v>0</v>
      </c>
      <c r="O12" t="str">
        <f t="shared" si="14"/>
        <v/>
      </c>
      <c r="P12" t="str">
        <f t="shared" si="0"/>
        <v/>
      </c>
      <c r="Q12" s="263"/>
      <c r="R12">
        <v>9</v>
      </c>
      <c r="S12">
        <f t="shared" si="15"/>
        <v>1</v>
      </c>
      <c r="T12">
        <f t="shared" si="16"/>
        <v>0</v>
      </c>
      <c r="U12">
        <f>_xlfn.XLOOKUP(T12,'Order Page'!X$27:X$393,'Order Page'!U$27:U$393,"")</f>
        <v>0</v>
      </c>
      <c r="W12" t="str">
        <f t="shared" si="1"/>
        <v/>
      </c>
      <c r="X12" t="str">
        <f t="shared" si="2"/>
        <v/>
      </c>
      <c r="Y12" t="str">
        <f>_xlfn.XLOOKUP(T12,'Order Page'!X$27:X$393,'Order Page'!C$27:C$393,"")</f>
        <v>Acorus Calamus</v>
      </c>
      <c r="Z12" s="264"/>
      <c r="AA12">
        <v>9</v>
      </c>
      <c r="AB12" cm="1">
        <f t="array" ref="AB12">VLOOKUP(ROW(9:9),S$4:T$153,2)</f>
        <v>0</v>
      </c>
      <c r="AD12" t="str">
        <f t="shared" si="3"/>
        <v/>
      </c>
      <c r="AE12" t="e">
        <f t="shared" si="25"/>
        <v>#N/A</v>
      </c>
      <c r="AF12" t="str">
        <f t="shared" si="4"/>
        <v/>
      </c>
      <c r="AG12" t="str">
        <f>_xlfn.XLOOKUP(AB12,'Order Page'!X$27:X$393,'Order Page'!C$27:C$393,"")</f>
        <v>Acorus Calamus</v>
      </c>
      <c r="AH12">
        <f t="shared" si="26"/>
        <v>0</v>
      </c>
      <c r="AI12">
        <f t="shared" si="5"/>
        <v>0</v>
      </c>
      <c r="AJ12">
        <f t="shared" si="27"/>
        <v>0</v>
      </c>
      <c r="AK12">
        <f t="shared" si="17"/>
        <v>0</v>
      </c>
      <c r="AL12">
        <f>IF(OR(AD11&amp;AF11&lt;&gt;AD12&amp;AF12,AK12&lt;AK11),AK11,0)+MAX(AL$4:AL11)</f>
        <v>0</v>
      </c>
      <c r="AM12">
        <f t="shared" si="18"/>
        <v>0</v>
      </c>
      <c r="AO12" s="25" t="str">
        <f t="shared" si="19"/>
        <v/>
      </c>
      <c r="AP12" s="25" t="str">
        <f t="shared" si="6"/>
        <v/>
      </c>
      <c r="AQ12" t="str">
        <f t="shared" si="20"/>
        <v/>
      </c>
      <c r="AR12" t="str">
        <f t="shared" si="7"/>
        <v/>
      </c>
      <c r="AS12">
        <f t="shared" si="8"/>
        <v>0</v>
      </c>
      <c r="AT12">
        <f t="shared" si="21"/>
        <v>0</v>
      </c>
      <c r="AU12" t="str">
        <f>_xlfn.XLOOKUP(AB12,'Order Page'!X$24:X$378,'Order Page'!B$24:B$378,0)</f>
        <v>x6</v>
      </c>
      <c r="AV12">
        <f>_xlfn.XLOOKUP(AB12,'Order Page'!X$24:X$378,'Order Page'!O$24:O$378,0)</f>
        <v>38</v>
      </c>
      <c r="AW12" s="264"/>
      <c r="AX12">
        <v>-8</v>
      </c>
      <c r="AY12">
        <f t="shared" si="9"/>
        <v>0</v>
      </c>
      <c r="AZ12">
        <f t="shared" si="10"/>
        <v>0</v>
      </c>
      <c r="BA12">
        <f t="shared" si="11"/>
        <v>0</v>
      </c>
      <c r="BB12">
        <f t="shared" si="12"/>
        <v>0</v>
      </c>
      <c r="BC12">
        <f t="shared" si="29"/>
        <v>0</v>
      </c>
      <c r="BD12">
        <f t="shared" si="28"/>
        <v>0</v>
      </c>
      <c r="BE12">
        <f>IF(BD12&gt;0,AM$1+ROUNDUP(SUM(BD$4:BD12),0),0)+IF(BC12&gt;0,IF(BC11&gt;0,BE11-1+ROUNDUP(SUM(BC$4:BC12),0),BE11+AR$1),0)</f>
        <v>0</v>
      </c>
      <c r="BF12">
        <f t="shared" si="13"/>
        <v>0</v>
      </c>
    </row>
    <row r="13" spans="2:58" x14ac:dyDescent="0.25">
      <c r="B13" t="s">
        <v>583</v>
      </c>
      <c r="C13">
        <v>25</v>
      </c>
      <c r="D13">
        <v>0.16600000000000001</v>
      </c>
      <c r="E13" t="s">
        <v>629</v>
      </c>
      <c r="F13">
        <f>SUMIF('Order Page'!R$216:R$228,TB!C13,'Order Page'!U$216:U$228)</f>
        <v>0</v>
      </c>
      <c r="G13" s="262">
        <f>F13/6</f>
        <v>0</v>
      </c>
      <c r="H13">
        <f t="shared" si="24"/>
        <v>0</v>
      </c>
      <c r="I13">
        <f>IF(H13&gt;0,MAX(I$5:I12)+1,0)</f>
        <v>0</v>
      </c>
      <c r="J13">
        <v>4</v>
      </c>
      <c r="L13">
        <v>10</v>
      </c>
      <c r="M13">
        <f>_xlfn.XLOOKUP(L13,'Order Page'!X$27:X$393,'Order Page'!T$27:T$393,0)</f>
        <v>0</v>
      </c>
      <c r="N13">
        <f>_xlfn.XLOOKUP(L13,'Order Page'!X$27:X$393,'Order Page'!R$27:R$393,0)</f>
        <v>0</v>
      </c>
      <c r="O13" t="str">
        <f t="shared" si="14"/>
        <v/>
      </c>
      <c r="P13" t="str">
        <f t="shared" si="0"/>
        <v/>
      </c>
      <c r="Q13" s="263"/>
      <c r="R13">
        <v>10</v>
      </c>
      <c r="S13">
        <f t="shared" si="15"/>
        <v>1</v>
      </c>
      <c r="T13">
        <f t="shared" si="16"/>
        <v>0</v>
      </c>
      <c r="U13">
        <f>_xlfn.XLOOKUP(T13,'Order Page'!X$27:X$393,'Order Page'!U$27:U$393,"")</f>
        <v>0</v>
      </c>
      <c r="W13" t="str">
        <f t="shared" si="1"/>
        <v/>
      </c>
      <c r="X13" t="str">
        <f t="shared" si="2"/>
        <v/>
      </c>
      <c r="Y13" t="str">
        <f>_xlfn.XLOOKUP(T13,'Order Page'!X$27:X$393,'Order Page'!C$27:C$393,"")</f>
        <v>Acorus Calamus</v>
      </c>
      <c r="Z13" s="264"/>
      <c r="AA13">
        <v>10</v>
      </c>
      <c r="AB13" cm="1">
        <f t="array" ref="AB13">VLOOKUP(ROW(10:10),S$4:T$153,2)</f>
        <v>0</v>
      </c>
      <c r="AD13" t="str">
        <f t="shared" si="3"/>
        <v/>
      </c>
      <c r="AE13" t="e">
        <f t="shared" si="25"/>
        <v>#N/A</v>
      </c>
      <c r="AF13" t="str">
        <f t="shared" si="4"/>
        <v/>
      </c>
      <c r="AG13" t="str">
        <f>_xlfn.XLOOKUP(AB13,'Order Page'!X$27:X$393,'Order Page'!C$27:C$393,"")</f>
        <v>Acorus Calamus</v>
      </c>
      <c r="AH13">
        <f t="shared" si="26"/>
        <v>0</v>
      </c>
      <c r="AI13">
        <f t="shared" si="5"/>
        <v>0</v>
      </c>
      <c r="AJ13">
        <f t="shared" si="27"/>
        <v>0</v>
      </c>
      <c r="AK13">
        <f t="shared" si="17"/>
        <v>0</v>
      </c>
      <c r="AL13">
        <f>IF(OR(AD12&amp;AF12&lt;&gt;AD13&amp;AF13,AK13&lt;AK12),AK12,0)+MAX(AL$4:AL12)</f>
        <v>0</v>
      </c>
      <c r="AM13">
        <f t="shared" si="18"/>
        <v>0</v>
      </c>
      <c r="AO13" s="25" t="str">
        <f t="shared" si="19"/>
        <v/>
      </c>
      <c r="AP13" s="25" t="str">
        <f t="shared" si="6"/>
        <v/>
      </c>
      <c r="AQ13" t="str">
        <f t="shared" si="20"/>
        <v/>
      </c>
      <c r="AR13" t="str">
        <f t="shared" si="7"/>
        <v/>
      </c>
      <c r="AS13">
        <f t="shared" si="8"/>
        <v>0</v>
      </c>
      <c r="AT13">
        <f t="shared" si="21"/>
        <v>0</v>
      </c>
      <c r="AU13" t="str">
        <f>_xlfn.XLOOKUP(AB13,'Order Page'!X$24:X$378,'Order Page'!B$24:B$378,0)</f>
        <v>x6</v>
      </c>
      <c r="AV13">
        <f>_xlfn.XLOOKUP(AB13,'Order Page'!X$24:X$378,'Order Page'!O$24:O$378,0)</f>
        <v>38</v>
      </c>
      <c r="AW13" s="264"/>
      <c r="AX13">
        <v>-9</v>
      </c>
      <c r="AY13">
        <f t="shared" si="9"/>
        <v>0</v>
      </c>
      <c r="AZ13">
        <f t="shared" si="10"/>
        <v>0</v>
      </c>
      <c r="BA13">
        <f t="shared" si="11"/>
        <v>0</v>
      </c>
      <c r="BB13">
        <f t="shared" si="12"/>
        <v>0</v>
      </c>
      <c r="BC13">
        <f t="shared" si="29"/>
        <v>0</v>
      </c>
      <c r="BD13">
        <f t="shared" si="28"/>
        <v>0</v>
      </c>
      <c r="BE13">
        <f>IF(BD13&gt;0,AM$1+ROUNDUP(SUM(BD$4:BD13),0),0)+IF(BC13&gt;0,IF(BC12&gt;0,BE12-1+ROUNDUP(SUM(BC$4:BC13),0),BE12+AR$1),0)</f>
        <v>0</v>
      </c>
      <c r="BF13">
        <f t="shared" si="13"/>
        <v>0</v>
      </c>
    </row>
    <row r="14" spans="2:58" x14ac:dyDescent="0.25">
      <c r="B14" t="s">
        <v>583</v>
      </c>
      <c r="C14">
        <v>30</v>
      </c>
      <c r="D14">
        <v>0.16600000000000001</v>
      </c>
      <c r="E14" t="s">
        <v>630</v>
      </c>
      <c r="F14">
        <f>SUMIF('Order Page'!R$216:R$228,TB!C14,'Order Page'!U$216:U$228)</f>
        <v>0</v>
      </c>
      <c r="G14" s="262">
        <f t="shared" ref="G14:G20" si="30">F14/6</f>
        <v>0</v>
      </c>
      <c r="H14">
        <f t="shared" si="24"/>
        <v>0</v>
      </c>
      <c r="I14">
        <f>IF(H14&gt;0,MAX(I$5:I13)+1,0)</f>
        <v>0</v>
      </c>
      <c r="J14">
        <v>4</v>
      </c>
      <c r="L14">
        <v>11</v>
      </c>
      <c r="M14">
        <f>_xlfn.XLOOKUP(L14,'Order Page'!X$27:X$393,'Order Page'!T$27:T$393,0)</f>
        <v>0</v>
      </c>
      <c r="N14">
        <f>_xlfn.XLOOKUP(L14,'Order Page'!X$27:X$393,'Order Page'!R$27:R$393,0)</f>
        <v>0</v>
      </c>
      <c r="O14" t="str">
        <f t="shared" si="14"/>
        <v/>
      </c>
      <c r="P14" t="str">
        <f t="shared" si="0"/>
        <v/>
      </c>
      <c r="Q14" s="263"/>
      <c r="R14">
        <v>11</v>
      </c>
      <c r="S14">
        <f t="shared" si="15"/>
        <v>1</v>
      </c>
      <c r="T14">
        <f t="shared" si="16"/>
        <v>0</v>
      </c>
      <c r="U14">
        <f>_xlfn.XLOOKUP(T14,'Order Page'!X$27:X$393,'Order Page'!U$27:U$393,"")</f>
        <v>0</v>
      </c>
      <c r="W14" t="str">
        <f t="shared" si="1"/>
        <v/>
      </c>
      <c r="X14" t="str">
        <f t="shared" si="2"/>
        <v/>
      </c>
      <c r="Y14" t="str">
        <f>_xlfn.XLOOKUP(T14,'Order Page'!X$27:X$393,'Order Page'!C$27:C$393,"")</f>
        <v>Acorus Calamus</v>
      </c>
      <c r="Z14" s="264"/>
      <c r="AA14">
        <v>11</v>
      </c>
      <c r="AB14" cm="1">
        <f t="array" ref="AB14">VLOOKUP(ROW(11:11),S$4:T$153,2)</f>
        <v>0</v>
      </c>
      <c r="AD14" t="str">
        <f t="shared" si="3"/>
        <v/>
      </c>
      <c r="AE14" t="e">
        <f t="shared" si="25"/>
        <v>#N/A</v>
      </c>
      <c r="AF14" t="str">
        <f t="shared" si="4"/>
        <v/>
      </c>
      <c r="AG14" t="str">
        <f>_xlfn.XLOOKUP(AB14,'Order Page'!X$27:X$393,'Order Page'!C$27:C$393,"")</f>
        <v>Acorus Calamus</v>
      </c>
      <c r="AH14">
        <f t="shared" si="26"/>
        <v>0</v>
      </c>
      <c r="AI14">
        <f t="shared" si="5"/>
        <v>0</v>
      </c>
      <c r="AJ14">
        <f t="shared" si="27"/>
        <v>0</v>
      </c>
      <c r="AK14">
        <f t="shared" si="17"/>
        <v>0</v>
      </c>
      <c r="AL14">
        <f>IF(OR(AD13&amp;AF13&lt;&gt;AD14&amp;AF14,AK14&lt;AK13),AK13,0)+MAX(AL$4:AL13)</f>
        <v>0</v>
      </c>
      <c r="AM14">
        <f t="shared" si="18"/>
        <v>0</v>
      </c>
      <c r="AO14" s="25" t="str">
        <f t="shared" si="19"/>
        <v/>
      </c>
      <c r="AP14" s="25" t="str">
        <f t="shared" si="6"/>
        <v/>
      </c>
      <c r="AQ14" t="str">
        <f t="shared" si="20"/>
        <v/>
      </c>
      <c r="AR14" t="str">
        <f t="shared" si="7"/>
        <v/>
      </c>
      <c r="AS14">
        <f t="shared" si="8"/>
        <v>0</v>
      </c>
      <c r="AT14">
        <f t="shared" si="21"/>
        <v>0</v>
      </c>
      <c r="AU14" t="str">
        <f>_xlfn.XLOOKUP(AB14,'Order Page'!X$24:X$378,'Order Page'!B$24:B$378,0)</f>
        <v>x6</v>
      </c>
      <c r="AV14">
        <f>_xlfn.XLOOKUP(AB14,'Order Page'!X$24:X$378,'Order Page'!O$24:O$378,0)</f>
        <v>38</v>
      </c>
      <c r="AW14" s="264"/>
      <c r="AX14">
        <v>-10</v>
      </c>
      <c r="AY14">
        <f t="shared" si="9"/>
        <v>0</v>
      </c>
      <c r="AZ14">
        <f t="shared" si="10"/>
        <v>0</v>
      </c>
      <c r="BA14">
        <f t="shared" si="11"/>
        <v>0</v>
      </c>
      <c r="BB14">
        <f t="shared" si="12"/>
        <v>0</v>
      </c>
      <c r="BC14">
        <f t="shared" si="29"/>
        <v>0</v>
      </c>
      <c r="BD14">
        <f t="shared" si="28"/>
        <v>0</v>
      </c>
      <c r="BE14">
        <f>IF(BD14&gt;0,AM$1+ROUNDUP(SUM(BD$4:BD14),0),0)+IF(BC14&gt;0,IF(BC13&gt;0,BE13-1+ROUNDUP(SUM(BC$4:BC14),0),BE13+AR$1),0)</f>
        <v>0</v>
      </c>
      <c r="BF14">
        <f t="shared" si="13"/>
        <v>0</v>
      </c>
    </row>
    <row r="15" spans="2:58" x14ac:dyDescent="0.25">
      <c r="B15" t="s">
        <v>583</v>
      </c>
      <c r="C15">
        <v>35</v>
      </c>
      <c r="D15">
        <v>0.16600000000000001</v>
      </c>
      <c r="E15" t="s">
        <v>631</v>
      </c>
      <c r="F15">
        <f>SUMIF('Order Page'!R$216:R$228,TB!C15,'Order Page'!U$216:U$228)</f>
        <v>0</v>
      </c>
      <c r="G15" s="262">
        <f t="shared" si="30"/>
        <v>0</v>
      </c>
      <c r="H15">
        <f t="shared" si="24"/>
        <v>0</v>
      </c>
      <c r="I15">
        <f>IF(H15&gt;0,MAX(I$5:I14)+1,0)</f>
        <v>0</v>
      </c>
      <c r="J15">
        <v>4</v>
      </c>
      <c r="L15">
        <v>12</v>
      </c>
      <c r="M15">
        <f>_xlfn.XLOOKUP(L15,'Order Page'!X$27:X$393,'Order Page'!T$27:T$393,0)</f>
        <v>0</v>
      </c>
      <c r="N15">
        <f>_xlfn.XLOOKUP(L15,'Order Page'!X$27:X$393,'Order Page'!R$27:R$393,0)</f>
        <v>0</v>
      </c>
      <c r="O15" t="str">
        <f t="shared" si="14"/>
        <v/>
      </c>
      <c r="P15" t="str">
        <f t="shared" si="0"/>
        <v/>
      </c>
      <c r="Q15" s="263"/>
      <c r="R15">
        <v>12</v>
      </c>
      <c r="S15">
        <f t="shared" si="15"/>
        <v>1</v>
      </c>
      <c r="T15">
        <f t="shared" si="16"/>
        <v>0</v>
      </c>
      <c r="U15">
        <f>_xlfn.XLOOKUP(T15,'Order Page'!X$27:X$393,'Order Page'!U$27:U$393,"")</f>
        <v>0</v>
      </c>
      <c r="W15" t="str">
        <f t="shared" si="1"/>
        <v/>
      </c>
      <c r="X15" t="str">
        <f t="shared" si="2"/>
        <v/>
      </c>
      <c r="Y15" t="str">
        <f>_xlfn.XLOOKUP(T15,'Order Page'!X$27:X$393,'Order Page'!C$27:C$393,"")</f>
        <v>Acorus Calamus</v>
      </c>
      <c r="Z15" s="264"/>
      <c r="AA15">
        <v>12</v>
      </c>
      <c r="AB15" cm="1">
        <f t="array" ref="AB15">VLOOKUP(ROW(12:12),S$4:T$153,2)</f>
        <v>0</v>
      </c>
      <c r="AD15" t="str">
        <f t="shared" si="3"/>
        <v/>
      </c>
      <c r="AE15" t="e">
        <f t="shared" si="25"/>
        <v>#N/A</v>
      </c>
      <c r="AF15" t="str">
        <f t="shared" si="4"/>
        <v/>
      </c>
      <c r="AG15" t="str">
        <f>_xlfn.XLOOKUP(AB15,'Order Page'!X$27:X$393,'Order Page'!C$27:C$393,"")</f>
        <v>Acorus Calamus</v>
      </c>
      <c r="AH15">
        <f t="shared" si="26"/>
        <v>0</v>
      </c>
      <c r="AI15">
        <f t="shared" si="5"/>
        <v>0</v>
      </c>
      <c r="AJ15">
        <f t="shared" si="27"/>
        <v>0</v>
      </c>
      <c r="AK15">
        <f t="shared" si="17"/>
        <v>0</v>
      </c>
      <c r="AL15">
        <f>IF(OR(AD14&amp;AF14&lt;&gt;AD15&amp;AF15,AK15&lt;AK14),AK14,0)+MAX(AL$4:AL14)</f>
        <v>0</v>
      </c>
      <c r="AM15">
        <f t="shared" si="18"/>
        <v>0</v>
      </c>
      <c r="AO15" s="25" t="str">
        <f t="shared" si="19"/>
        <v/>
      </c>
      <c r="AP15" s="25" t="str">
        <f t="shared" si="6"/>
        <v/>
      </c>
      <c r="AQ15" t="str">
        <f t="shared" si="20"/>
        <v/>
      </c>
      <c r="AR15" t="str">
        <f t="shared" si="7"/>
        <v/>
      </c>
      <c r="AS15">
        <f t="shared" si="8"/>
        <v>0</v>
      </c>
      <c r="AT15">
        <f t="shared" si="21"/>
        <v>0</v>
      </c>
      <c r="AU15" t="str">
        <f>_xlfn.XLOOKUP(AB15,'Order Page'!X$24:X$378,'Order Page'!B$24:B$378,0)</f>
        <v>x6</v>
      </c>
      <c r="AV15">
        <f>_xlfn.XLOOKUP(AB15,'Order Page'!X$24:X$378,'Order Page'!O$24:O$378,0)</f>
        <v>38</v>
      </c>
      <c r="AW15" s="264"/>
      <c r="AX15">
        <v>-11</v>
      </c>
      <c r="AY15">
        <f t="shared" si="9"/>
        <v>0</v>
      </c>
      <c r="AZ15">
        <f t="shared" si="10"/>
        <v>0</v>
      </c>
      <c r="BA15">
        <f t="shared" si="11"/>
        <v>0</v>
      </c>
      <c r="BB15">
        <f t="shared" si="12"/>
        <v>0</v>
      </c>
      <c r="BC15">
        <f t="shared" si="29"/>
        <v>0</v>
      </c>
      <c r="BD15">
        <f t="shared" si="28"/>
        <v>0</v>
      </c>
      <c r="BE15">
        <f>IF(BD15&gt;0,AM$1+ROUNDUP(SUM(BD$4:BD15),0),0)+IF(BC15&gt;0,IF(BC14&gt;0,BE14-1+ROUNDUP(SUM(BC$4:BC15),0),BE14+AR$1),0)</f>
        <v>0</v>
      </c>
      <c r="BF15">
        <f t="shared" si="13"/>
        <v>0</v>
      </c>
    </row>
    <row r="16" spans="2:58" x14ac:dyDescent="0.25">
      <c r="B16" t="s">
        <v>583</v>
      </c>
      <c r="C16">
        <v>40</v>
      </c>
      <c r="D16">
        <v>0.16600000000000001</v>
      </c>
      <c r="E16" t="s">
        <v>632</v>
      </c>
      <c r="F16">
        <f>SUMIF('Order Page'!R$216:R$228,TB!C16,'Order Page'!U$216:U$228)</f>
        <v>0</v>
      </c>
      <c r="G16" s="262">
        <f t="shared" si="30"/>
        <v>0</v>
      </c>
      <c r="H16">
        <f t="shared" si="24"/>
        <v>0</v>
      </c>
      <c r="I16">
        <f>IF(H16&gt;0,MAX(I$5:I15)+1,0)</f>
        <v>0</v>
      </c>
      <c r="J16">
        <v>4</v>
      </c>
      <c r="L16">
        <v>13</v>
      </c>
      <c r="M16">
        <f>_xlfn.XLOOKUP(L16,'Order Page'!X$27:X$393,'Order Page'!T$27:T$393,0)</f>
        <v>0</v>
      </c>
      <c r="N16">
        <f>_xlfn.XLOOKUP(L16,'Order Page'!X$27:X$393,'Order Page'!R$27:R$393,0)</f>
        <v>0</v>
      </c>
      <c r="O16" t="str">
        <f t="shared" si="14"/>
        <v/>
      </c>
      <c r="P16" t="str">
        <f t="shared" si="0"/>
        <v/>
      </c>
      <c r="Q16" s="263"/>
      <c r="R16">
        <v>13</v>
      </c>
      <c r="S16">
        <f t="shared" si="15"/>
        <v>1</v>
      </c>
      <c r="T16">
        <f t="shared" si="16"/>
        <v>0</v>
      </c>
      <c r="U16">
        <f>_xlfn.XLOOKUP(T16,'Order Page'!X$27:X$393,'Order Page'!U$27:U$393,"")</f>
        <v>0</v>
      </c>
      <c r="W16" t="str">
        <f t="shared" si="1"/>
        <v/>
      </c>
      <c r="X16" t="str">
        <f t="shared" si="2"/>
        <v/>
      </c>
      <c r="Y16" t="str">
        <f>_xlfn.XLOOKUP(T16,'Order Page'!X$27:X$393,'Order Page'!C$27:C$393,"")</f>
        <v>Acorus Calamus</v>
      </c>
      <c r="Z16" s="264"/>
      <c r="AA16">
        <v>13</v>
      </c>
      <c r="AB16" cm="1">
        <f t="array" ref="AB16">VLOOKUP(ROW(13:13),S$4:T$153,2)</f>
        <v>0</v>
      </c>
      <c r="AD16" t="str">
        <f t="shared" si="3"/>
        <v/>
      </c>
      <c r="AE16" t="e">
        <f t="shared" si="25"/>
        <v>#N/A</v>
      </c>
      <c r="AF16" t="str">
        <f t="shared" si="4"/>
        <v/>
      </c>
      <c r="AG16" t="str">
        <f>_xlfn.XLOOKUP(AB16,'Order Page'!X$27:X$393,'Order Page'!C$27:C$393,"")</f>
        <v>Acorus Calamus</v>
      </c>
      <c r="AH16">
        <f t="shared" si="26"/>
        <v>0</v>
      </c>
      <c r="AI16">
        <f t="shared" si="5"/>
        <v>0</v>
      </c>
      <c r="AJ16">
        <f t="shared" si="27"/>
        <v>0</v>
      </c>
      <c r="AK16">
        <f t="shared" si="17"/>
        <v>0</v>
      </c>
      <c r="AL16">
        <f>IF(OR(AD15&amp;AF15&lt;&gt;AD16&amp;AF16,AK16&lt;AK15),AK15,0)+MAX(AL$4:AL15)</f>
        <v>0</v>
      </c>
      <c r="AM16">
        <f t="shared" si="18"/>
        <v>0</v>
      </c>
      <c r="AO16" s="25" t="str">
        <f t="shared" si="19"/>
        <v/>
      </c>
      <c r="AP16" s="25" t="str">
        <f t="shared" si="6"/>
        <v/>
      </c>
      <c r="AQ16" t="str">
        <f t="shared" si="20"/>
        <v/>
      </c>
      <c r="AR16" t="str">
        <f t="shared" si="7"/>
        <v/>
      </c>
      <c r="AS16">
        <f t="shared" si="8"/>
        <v>0</v>
      </c>
      <c r="AT16">
        <f t="shared" si="21"/>
        <v>0</v>
      </c>
      <c r="AU16" t="str">
        <f>_xlfn.XLOOKUP(AB16,'Order Page'!X$24:X$378,'Order Page'!B$24:B$378,0)</f>
        <v>x6</v>
      </c>
      <c r="AV16">
        <f>_xlfn.XLOOKUP(AB16,'Order Page'!X$24:X$378,'Order Page'!O$24:O$378,0)</f>
        <v>38</v>
      </c>
      <c r="AW16" s="264"/>
      <c r="AX16">
        <v>-12</v>
      </c>
      <c r="AY16">
        <f t="shared" si="9"/>
        <v>0</v>
      </c>
      <c r="AZ16">
        <f t="shared" si="10"/>
        <v>0</v>
      </c>
      <c r="BA16">
        <f t="shared" si="11"/>
        <v>0</v>
      </c>
      <c r="BB16">
        <f t="shared" si="12"/>
        <v>0</v>
      </c>
      <c r="BC16">
        <f t="shared" si="29"/>
        <v>0</v>
      </c>
      <c r="BD16">
        <f t="shared" si="28"/>
        <v>0</v>
      </c>
      <c r="BE16">
        <f>IF(BD16&gt;0,AM$1+ROUNDUP(SUM(BD$4:BD16),0),0)+IF(BC16&gt;0,IF(BC15&gt;0,BE15-1+ROUNDUP(SUM(BC$4:BC16),0),BE15+AR$1),0)</f>
        <v>0</v>
      </c>
      <c r="BF16">
        <f t="shared" si="13"/>
        <v>0</v>
      </c>
    </row>
    <row r="17" spans="1:66" x14ac:dyDescent="0.25">
      <c r="B17" t="s">
        <v>583</v>
      </c>
      <c r="C17">
        <v>45</v>
      </c>
      <c r="D17">
        <v>0.16600000000000001</v>
      </c>
      <c r="E17" t="s">
        <v>633</v>
      </c>
      <c r="F17">
        <f>SUMIF('Order Page'!R$216:R$228,TB!C17,'Order Page'!U$216:U$228)</f>
        <v>0</v>
      </c>
      <c r="G17" s="262">
        <f t="shared" si="30"/>
        <v>0</v>
      </c>
      <c r="H17">
        <f t="shared" si="24"/>
        <v>0</v>
      </c>
      <c r="I17">
        <f>IF(H17&gt;0,MAX(I$5:I16)+1,0)</f>
        <v>0</v>
      </c>
      <c r="J17">
        <v>4</v>
      </c>
      <c r="L17">
        <v>14</v>
      </c>
      <c r="M17">
        <f>_xlfn.XLOOKUP(L17,'Order Page'!X$27:X$393,'Order Page'!T$27:T$393,0)</f>
        <v>0</v>
      </c>
      <c r="N17">
        <f>_xlfn.XLOOKUP(L17,'Order Page'!X$27:X$393,'Order Page'!R$27:R$393,0)</f>
        <v>0</v>
      </c>
      <c r="O17" t="str">
        <f t="shared" si="14"/>
        <v/>
      </c>
      <c r="P17" t="str">
        <f t="shared" si="0"/>
        <v/>
      </c>
      <c r="Q17" s="263"/>
      <c r="R17">
        <v>14</v>
      </c>
      <c r="S17">
        <f t="shared" si="15"/>
        <v>1</v>
      </c>
      <c r="T17">
        <f t="shared" si="16"/>
        <v>0</v>
      </c>
      <c r="U17">
        <f>_xlfn.XLOOKUP(T17,'Order Page'!X$27:X$393,'Order Page'!U$27:U$393,"")</f>
        <v>0</v>
      </c>
      <c r="W17" t="str">
        <f t="shared" si="1"/>
        <v/>
      </c>
      <c r="X17" t="str">
        <f t="shared" si="2"/>
        <v/>
      </c>
      <c r="Y17" t="str">
        <f>_xlfn.XLOOKUP(T17,'Order Page'!X$27:X$393,'Order Page'!C$27:C$393,"")</f>
        <v>Acorus Calamus</v>
      </c>
      <c r="Z17" s="264"/>
      <c r="AA17">
        <v>14</v>
      </c>
      <c r="AB17" cm="1">
        <f t="array" ref="AB17">VLOOKUP(ROW(14:14),S$4:T$153,2)</f>
        <v>0</v>
      </c>
      <c r="AD17" t="str">
        <f t="shared" si="3"/>
        <v/>
      </c>
      <c r="AE17" t="e">
        <f t="shared" si="25"/>
        <v>#N/A</v>
      </c>
      <c r="AF17" t="str">
        <f t="shared" si="4"/>
        <v/>
      </c>
      <c r="AG17" t="str">
        <f>_xlfn.XLOOKUP(AB17,'Order Page'!X$27:X$393,'Order Page'!C$27:C$393,"")</f>
        <v>Acorus Calamus</v>
      </c>
      <c r="AH17">
        <f t="shared" si="26"/>
        <v>0</v>
      </c>
      <c r="AI17">
        <f t="shared" si="5"/>
        <v>0</v>
      </c>
      <c r="AJ17">
        <f t="shared" si="27"/>
        <v>0</v>
      </c>
      <c r="AK17">
        <f t="shared" si="17"/>
        <v>0</v>
      </c>
      <c r="AL17">
        <f>IF(OR(AD16&amp;AF16&lt;&gt;AD17&amp;AF17,AK17&lt;AK16),AK16,0)+MAX(AL$4:AL16)</f>
        <v>0</v>
      </c>
      <c r="AM17">
        <f t="shared" si="18"/>
        <v>0</v>
      </c>
      <c r="AO17" s="25" t="str">
        <f t="shared" si="19"/>
        <v/>
      </c>
      <c r="AP17" s="25" t="str">
        <f t="shared" si="6"/>
        <v/>
      </c>
      <c r="AQ17" t="str">
        <f t="shared" si="20"/>
        <v/>
      </c>
      <c r="AR17" t="str">
        <f t="shared" si="7"/>
        <v/>
      </c>
      <c r="AS17">
        <f t="shared" si="8"/>
        <v>0</v>
      </c>
      <c r="AT17">
        <f t="shared" si="21"/>
        <v>0</v>
      </c>
      <c r="AU17" t="str">
        <f>_xlfn.XLOOKUP(AB17,'Order Page'!X$24:X$378,'Order Page'!B$24:B$378,0)</f>
        <v>x6</v>
      </c>
      <c r="AV17">
        <f>_xlfn.XLOOKUP(AB17,'Order Page'!X$24:X$378,'Order Page'!O$24:O$378,0)</f>
        <v>38</v>
      </c>
      <c r="AW17" s="264"/>
      <c r="BC17" t="s">
        <v>677</v>
      </c>
      <c r="BD17" t="s">
        <v>678</v>
      </c>
      <c r="BE17" t="s">
        <v>676</v>
      </c>
    </row>
    <row r="18" spans="1:66" x14ac:dyDescent="0.25">
      <c r="B18" t="s">
        <v>583</v>
      </c>
      <c r="C18">
        <v>50</v>
      </c>
      <c r="D18">
        <v>0.16600000000000001</v>
      </c>
      <c r="E18" t="s">
        <v>634</v>
      </c>
      <c r="F18">
        <f>SUMIF('Order Page'!R$216:R$228,TB!C18,'Order Page'!U$216:U$228)</f>
        <v>0</v>
      </c>
      <c r="G18" s="262">
        <f t="shared" si="30"/>
        <v>0</v>
      </c>
      <c r="H18">
        <f t="shared" si="24"/>
        <v>0</v>
      </c>
      <c r="I18">
        <f>IF(H18&gt;0,MAX(I$5:I17)+1,0)</f>
        <v>0</v>
      </c>
      <c r="J18">
        <v>4</v>
      </c>
      <c r="L18">
        <v>15</v>
      </c>
      <c r="M18">
        <f>_xlfn.XLOOKUP(L18,'Order Page'!X$27:X$393,'Order Page'!T$27:T$393,0)</f>
        <v>0</v>
      </c>
      <c r="N18">
        <f>_xlfn.XLOOKUP(L18,'Order Page'!X$27:X$393,'Order Page'!R$27:R$393,0)</f>
        <v>0</v>
      </c>
      <c r="O18" t="str">
        <f t="shared" si="14"/>
        <v/>
      </c>
      <c r="P18" t="str">
        <f t="shared" si="0"/>
        <v/>
      </c>
      <c r="Q18" s="263"/>
      <c r="R18">
        <v>15</v>
      </c>
      <c r="S18">
        <f t="shared" si="15"/>
        <v>1</v>
      </c>
      <c r="T18">
        <f t="shared" si="16"/>
        <v>0</v>
      </c>
      <c r="U18">
        <f>_xlfn.XLOOKUP(T18,'Order Page'!X$27:X$393,'Order Page'!U$27:U$393,"")</f>
        <v>0</v>
      </c>
      <c r="W18" t="str">
        <f t="shared" si="1"/>
        <v/>
      </c>
      <c r="X18" t="str">
        <f t="shared" si="2"/>
        <v/>
      </c>
      <c r="Y18" t="str">
        <f>_xlfn.XLOOKUP(T18,'Order Page'!X$27:X$393,'Order Page'!C$27:C$393,"")</f>
        <v>Acorus Calamus</v>
      </c>
      <c r="Z18" s="264"/>
      <c r="AA18">
        <v>15</v>
      </c>
      <c r="AB18" cm="1">
        <f t="array" ref="AB18">VLOOKUP(ROW(15:15),S$4:T$153,2)</f>
        <v>0</v>
      </c>
      <c r="AD18" t="str">
        <f t="shared" si="3"/>
        <v/>
      </c>
      <c r="AE18" t="e">
        <f t="shared" si="25"/>
        <v>#N/A</v>
      </c>
      <c r="AF18" t="str">
        <f t="shared" si="4"/>
        <v/>
      </c>
      <c r="AG18" t="str">
        <f>_xlfn.XLOOKUP(AB18,'Order Page'!X$27:X$393,'Order Page'!C$27:C$393,"")</f>
        <v>Acorus Calamus</v>
      </c>
      <c r="AH18">
        <f t="shared" si="26"/>
        <v>0</v>
      </c>
      <c r="AI18">
        <f t="shared" si="5"/>
        <v>0</v>
      </c>
      <c r="AJ18">
        <f>IF(AND(AD18&amp;AF18=AD17&amp;AF17,AH18&gt;0),AJ17+AI18,IF(AH18&gt;0,AI18,0))</f>
        <v>0</v>
      </c>
      <c r="AK18">
        <f t="shared" si="17"/>
        <v>0</v>
      </c>
      <c r="AL18">
        <f>IF(OR(AD17&amp;AF17&lt;&gt;AD18&amp;AF18,AK18&lt;AK17),AK17,0)+MAX(AL$4:AL17)</f>
        <v>0</v>
      </c>
      <c r="AM18">
        <f t="shared" si="18"/>
        <v>0</v>
      </c>
      <c r="AO18" s="25" t="str">
        <f t="shared" si="19"/>
        <v/>
      </c>
      <c r="AP18" s="25" t="str">
        <f t="shared" si="6"/>
        <v/>
      </c>
      <c r="AQ18" t="str">
        <f t="shared" si="20"/>
        <v/>
      </c>
      <c r="AR18" t="str">
        <f t="shared" si="7"/>
        <v/>
      </c>
      <c r="AS18">
        <f>AM18+IF(AR18&lt;1,_xlfn.XLOOKUP(AR18,AX$4:AX$16,BE$4:BE$16,0))+IF(AR18&gt;0,_xlfn.XLOOKUP(AR18,AX$22:AX$103,BN$22:BN$103,0),0)</f>
        <v>0</v>
      </c>
      <c r="AT18">
        <f>_xlfn.XLOOKUP(AS18,A$218:A$237,I$218:I$237,0)</f>
        <v>0</v>
      </c>
      <c r="AU18" t="str">
        <f>_xlfn.XLOOKUP(AB18,'Order Page'!X$24:X$378,'Order Page'!B$24:B$378,0)</f>
        <v>x6</v>
      </c>
      <c r="AV18">
        <f>_xlfn.XLOOKUP(AB18,'Order Page'!X$24:X$378,'Order Page'!O$24:O$378,0)</f>
        <v>38</v>
      </c>
      <c r="AW18" s="264"/>
      <c r="BA18" s="21" t="s">
        <v>667</v>
      </c>
      <c r="BB18">
        <f>SUMIF(BE4:BE16,BE4,BB4:BB16)</f>
        <v>0</v>
      </c>
      <c r="BC18">
        <f>AZ4</f>
        <v>0</v>
      </c>
      <c r="BD18">
        <f>BE4</f>
        <v>0</v>
      </c>
      <c r="BE18">
        <f>IF(COUNTIF(BC22:BC103,BD18)&gt;0,_xlfn.MAXIFS(AZ22:AZ103,BC22:BC103,BD18),)</f>
        <v>0</v>
      </c>
      <c r="BF18">
        <f>BB18+SUMIF(BC22:BC103,BD18,BB22:BB103)</f>
        <v>0</v>
      </c>
      <c r="BG18">
        <f>MAX(BC18,BE18)</f>
        <v>0</v>
      </c>
    </row>
    <row r="19" spans="1:66" x14ac:dyDescent="0.25">
      <c r="B19" t="s">
        <v>583</v>
      </c>
      <c r="C19">
        <v>55</v>
      </c>
      <c r="D19">
        <v>0.16600000000000001</v>
      </c>
      <c r="E19" t="s">
        <v>635</v>
      </c>
      <c r="F19">
        <f>SUMIF('Order Page'!R$216:R$228,TB!C19,'Order Page'!U$216:U$228)</f>
        <v>0</v>
      </c>
      <c r="G19" s="262">
        <f t="shared" si="30"/>
        <v>0</v>
      </c>
      <c r="H19">
        <f t="shared" si="24"/>
        <v>0</v>
      </c>
      <c r="I19">
        <f>IF(H19&gt;0,MAX(I$5:I18)+1,0)</f>
        <v>0</v>
      </c>
      <c r="J19">
        <v>4</v>
      </c>
      <c r="L19">
        <v>16</v>
      </c>
      <c r="M19">
        <f>_xlfn.XLOOKUP(L19,'Order Page'!X$27:X$393,'Order Page'!T$27:T$393,0)</f>
        <v>0</v>
      </c>
      <c r="N19">
        <f>_xlfn.XLOOKUP(L19,'Order Page'!X$27:X$393,'Order Page'!R$27:R$393,0)</f>
        <v>0</v>
      </c>
      <c r="O19" t="str">
        <f t="shared" si="14"/>
        <v/>
      </c>
      <c r="P19" t="str">
        <f t="shared" si="0"/>
        <v/>
      </c>
      <c r="Q19" s="263"/>
      <c r="R19">
        <v>16</v>
      </c>
      <c r="S19">
        <f t="shared" si="15"/>
        <v>1</v>
      </c>
      <c r="T19">
        <f t="shared" si="16"/>
        <v>0</v>
      </c>
      <c r="U19">
        <f>_xlfn.XLOOKUP(T19,'Order Page'!X$27:X$393,'Order Page'!U$27:U$393,"")</f>
        <v>0</v>
      </c>
      <c r="W19" t="str">
        <f t="shared" si="1"/>
        <v/>
      </c>
      <c r="X19" t="str">
        <f t="shared" si="2"/>
        <v/>
      </c>
      <c r="Y19" t="str">
        <f>_xlfn.XLOOKUP(T19,'Order Page'!X$27:X$393,'Order Page'!C$27:C$393,"")</f>
        <v>Acorus Calamus</v>
      </c>
      <c r="Z19" s="264"/>
      <c r="AA19">
        <v>16</v>
      </c>
      <c r="AB19" cm="1">
        <f t="array" ref="AB19">VLOOKUP(ROW(16:16),S$4:T$153,2)</f>
        <v>0</v>
      </c>
      <c r="AD19" t="str">
        <f t="shared" si="3"/>
        <v/>
      </c>
      <c r="AE19" t="e">
        <f t="shared" si="25"/>
        <v>#N/A</v>
      </c>
      <c r="AF19" t="str">
        <f t="shared" si="4"/>
        <v/>
      </c>
      <c r="AG19" t="str">
        <f>_xlfn.XLOOKUP(AB19,'Order Page'!X$27:X$393,'Order Page'!C$27:C$393,"")</f>
        <v>Acorus Calamus</v>
      </c>
      <c r="AH19">
        <f t="shared" si="26"/>
        <v>0</v>
      </c>
      <c r="AI19">
        <f t="shared" si="5"/>
        <v>0</v>
      </c>
      <c r="AJ19">
        <f t="shared" si="27"/>
        <v>0</v>
      </c>
      <c r="AK19">
        <f t="shared" si="17"/>
        <v>0</v>
      </c>
      <c r="AL19">
        <f>IF(OR(AD18&amp;AF18&lt;&gt;AD19&amp;AF19,AK19&lt;AK18),AK18,0)+MAX(AL$4:AL18)</f>
        <v>0</v>
      </c>
      <c r="AM19">
        <f t="shared" si="18"/>
        <v>0</v>
      </c>
      <c r="AO19" s="25" t="str">
        <f t="shared" si="19"/>
        <v/>
      </c>
      <c r="AP19" s="25" t="str">
        <f t="shared" si="6"/>
        <v/>
      </c>
      <c r="AQ19" t="str">
        <f t="shared" si="20"/>
        <v/>
      </c>
      <c r="AR19" t="str">
        <f t="shared" si="7"/>
        <v/>
      </c>
      <c r="AS19">
        <f t="shared" si="8"/>
        <v>0</v>
      </c>
      <c r="AT19">
        <f t="shared" si="21"/>
        <v>0</v>
      </c>
      <c r="AU19" t="str">
        <f>_xlfn.XLOOKUP(AB19,'Order Page'!X$24:X$378,'Order Page'!B$24:B$378,0)</f>
        <v>x6</v>
      </c>
      <c r="AV19">
        <f>_xlfn.XLOOKUP(AB19,'Order Page'!X$24:X$378,'Order Page'!O$24:O$378,0)</f>
        <v>38</v>
      </c>
      <c r="AW19" s="264"/>
      <c r="BA19" s="21" t="s">
        <v>668</v>
      </c>
      <c r="BB19">
        <f>SUMIF(BE4:BE16,BE4+1,BB4:BB16)</f>
        <v>0</v>
      </c>
      <c r="BC19">
        <f>_xlfn.XLOOKUP("Waterlily",BA4:BA16,AZ4:AZ16,0)</f>
        <v>0</v>
      </c>
      <c r="BD19">
        <f>MAX(BE4:BE16)</f>
        <v>0</v>
      </c>
      <c r="BE19">
        <f>IF(COUNTIF(BE22:BE103,BD19)&gt;0,_xlfn.MAXIFS(AZ22:AZ103,BE22:BE103,BD19),)</f>
        <v>0</v>
      </c>
      <c r="BF19">
        <f>BB19+SUMIF(BE22:BE103,BD19,BD22:BD103)</f>
        <v>0</v>
      </c>
      <c r="BG19">
        <f>MAX(BC19,BE19)</f>
        <v>0</v>
      </c>
    </row>
    <row r="20" spans="1:66" x14ac:dyDescent="0.25">
      <c r="B20" t="s">
        <v>583</v>
      </c>
      <c r="C20">
        <v>60</v>
      </c>
      <c r="D20">
        <v>0.16600000000000001</v>
      </c>
      <c r="E20" t="s">
        <v>636</v>
      </c>
      <c r="F20">
        <f>SUMIF('Order Page'!R$216:R$228,TB!C20,'Order Page'!U$216:U$228)</f>
        <v>0</v>
      </c>
      <c r="G20" s="262">
        <f t="shared" si="30"/>
        <v>0</v>
      </c>
      <c r="H20">
        <f t="shared" si="24"/>
        <v>0</v>
      </c>
      <c r="I20">
        <f>IF(H20&gt;0,MAX(I$5:I19)+1,0)</f>
        <v>0</v>
      </c>
      <c r="J20">
        <v>4</v>
      </c>
      <c r="L20">
        <v>17</v>
      </c>
      <c r="M20">
        <f>_xlfn.XLOOKUP(L20,'Order Page'!X$27:X$393,'Order Page'!T$27:T$393,0)</f>
        <v>0</v>
      </c>
      <c r="N20">
        <f>_xlfn.XLOOKUP(L20,'Order Page'!X$27:X$393,'Order Page'!R$27:R$393,0)</f>
        <v>0</v>
      </c>
      <c r="O20" t="str">
        <f t="shared" si="14"/>
        <v/>
      </c>
      <c r="P20" t="str">
        <f t="shared" si="0"/>
        <v/>
      </c>
      <c r="Q20" s="263"/>
      <c r="R20">
        <v>17</v>
      </c>
      <c r="S20">
        <f t="shared" si="15"/>
        <v>1</v>
      </c>
      <c r="T20">
        <f t="shared" si="16"/>
        <v>0</v>
      </c>
      <c r="U20">
        <f>_xlfn.XLOOKUP(T20,'Order Page'!X$27:X$393,'Order Page'!U$27:U$393,"")</f>
        <v>0</v>
      </c>
      <c r="W20" t="str">
        <f t="shared" si="1"/>
        <v/>
      </c>
      <c r="X20" t="str">
        <f t="shared" si="2"/>
        <v/>
      </c>
      <c r="Y20" t="str">
        <f>_xlfn.XLOOKUP(T20,'Order Page'!X$27:X$393,'Order Page'!C$27:C$393,"")</f>
        <v>Acorus Calamus</v>
      </c>
      <c r="Z20" s="264"/>
      <c r="AA20">
        <v>17</v>
      </c>
      <c r="AB20" cm="1">
        <f t="array" ref="AB20">VLOOKUP(ROW(17:17),S$4:T$153,2)</f>
        <v>0</v>
      </c>
      <c r="AD20" t="str">
        <f t="shared" si="3"/>
        <v/>
      </c>
      <c r="AE20" t="e">
        <f t="shared" si="25"/>
        <v>#N/A</v>
      </c>
      <c r="AF20" t="str">
        <f t="shared" si="4"/>
        <v/>
      </c>
      <c r="AG20" t="str">
        <f>_xlfn.XLOOKUP(AB20,'Order Page'!X$27:X$393,'Order Page'!C$27:C$393,"")</f>
        <v>Acorus Calamus</v>
      </c>
      <c r="AH20">
        <f t="shared" si="26"/>
        <v>0</v>
      </c>
      <c r="AI20">
        <f t="shared" si="5"/>
        <v>0</v>
      </c>
      <c r="AJ20">
        <f t="shared" si="27"/>
        <v>0</v>
      </c>
      <c r="AK20">
        <f t="shared" si="17"/>
        <v>0</v>
      </c>
      <c r="AL20">
        <f>IF(OR(AD19&amp;AF19&lt;&gt;AD20&amp;AF20,AK20&lt;AK19),AK19,0)+MAX(AL$4:AL19)</f>
        <v>0</v>
      </c>
      <c r="AM20">
        <f t="shared" si="18"/>
        <v>0</v>
      </c>
      <c r="AO20" s="25" t="str">
        <f t="shared" si="19"/>
        <v/>
      </c>
      <c r="AP20" s="25" t="str">
        <f t="shared" si="6"/>
        <v/>
      </c>
      <c r="AQ20" t="str">
        <f t="shared" si="20"/>
        <v/>
      </c>
      <c r="AR20" t="str">
        <f t="shared" si="7"/>
        <v/>
      </c>
      <c r="AS20">
        <f t="shared" si="8"/>
        <v>0</v>
      </c>
      <c r="AT20">
        <f t="shared" si="21"/>
        <v>0</v>
      </c>
      <c r="AU20" t="str">
        <f>_xlfn.XLOOKUP(AB20,'Order Page'!X$24:X$378,'Order Page'!B$24:B$378,0)</f>
        <v>x6</v>
      </c>
      <c r="AV20">
        <f>_xlfn.XLOOKUP(AB20,'Order Page'!X$24:X$378,'Order Page'!O$24:O$378,0)</f>
        <v>38</v>
      </c>
      <c r="AW20" s="264"/>
      <c r="BJ20" s="21" t="s">
        <v>675</v>
      </c>
      <c r="BK20" s="260">
        <f>MAX(BD18:BD19,AM1)+1</f>
        <v>1</v>
      </c>
    </row>
    <row r="21" spans="1:66" x14ac:dyDescent="0.25">
      <c r="B21" t="s">
        <v>612</v>
      </c>
      <c r="C21">
        <v>25</v>
      </c>
      <c r="D21" s="261">
        <v>0.14199999999999999</v>
      </c>
      <c r="E21" t="s">
        <v>637</v>
      </c>
      <c r="F21">
        <f>SUMIF('Order Page'!R$121:R$194,TB!C21,'Order Page'!U$121:U$194)+SUMIF('Order Page'!R$235:R$247,TB!C21,'Order Page'!U$235:U$247)</f>
        <v>0</v>
      </c>
      <c r="G21" s="262">
        <f>F21/7</f>
        <v>0</v>
      </c>
      <c r="H21">
        <f t="shared" si="24"/>
        <v>0</v>
      </c>
      <c r="I21">
        <f>IF(H21&gt;0,MAX(I$5:I20)+1,0)</f>
        <v>0</v>
      </c>
      <c r="J21">
        <v>6</v>
      </c>
      <c r="L21">
        <v>18</v>
      </c>
      <c r="M21">
        <f>_xlfn.XLOOKUP(L21,'Order Page'!X$27:X$393,'Order Page'!T$27:T$393,0)</f>
        <v>0</v>
      </c>
      <c r="N21">
        <f>_xlfn.XLOOKUP(L21,'Order Page'!X$27:X$393,'Order Page'!R$27:R$393,0)</f>
        <v>0</v>
      </c>
      <c r="O21" t="str">
        <f t="shared" si="14"/>
        <v/>
      </c>
      <c r="P21" t="str">
        <f t="shared" si="0"/>
        <v/>
      </c>
      <c r="Q21" s="263"/>
      <c r="R21">
        <v>18</v>
      </c>
      <c r="S21">
        <f t="shared" si="15"/>
        <v>1</v>
      </c>
      <c r="T21">
        <f t="shared" si="16"/>
        <v>0</v>
      </c>
      <c r="U21">
        <f>_xlfn.XLOOKUP(T21,'Order Page'!X$27:X$393,'Order Page'!U$27:U$393,"")</f>
        <v>0</v>
      </c>
      <c r="W21" t="str">
        <f t="shared" si="1"/>
        <v/>
      </c>
      <c r="X21" t="str">
        <f t="shared" si="2"/>
        <v/>
      </c>
      <c r="Y21" t="str">
        <f>_xlfn.XLOOKUP(T21,'Order Page'!X$27:X$393,'Order Page'!C$27:C$393,"")</f>
        <v>Acorus Calamus</v>
      </c>
      <c r="Z21" s="264"/>
      <c r="AA21">
        <v>18</v>
      </c>
      <c r="AB21" cm="1">
        <f t="array" ref="AB21">VLOOKUP(ROW(18:18),S$4:T$153,2)</f>
        <v>0</v>
      </c>
      <c r="AD21" t="str">
        <f t="shared" si="3"/>
        <v/>
      </c>
      <c r="AE21" t="e">
        <f t="shared" si="25"/>
        <v>#N/A</v>
      </c>
      <c r="AF21" t="str">
        <f t="shared" si="4"/>
        <v/>
      </c>
      <c r="AG21" t="str">
        <f>_xlfn.XLOOKUP(AB21,'Order Page'!X$27:X$393,'Order Page'!C$27:C$393,"")</f>
        <v>Acorus Calamus</v>
      </c>
      <c r="AH21">
        <f t="shared" si="26"/>
        <v>0</v>
      </c>
      <c r="AI21">
        <f t="shared" si="5"/>
        <v>0</v>
      </c>
      <c r="AJ21">
        <f t="shared" si="27"/>
        <v>0</v>
      </c>
      <c r="AK21">
        <f t="shared" si="17"/>
        <v>0</v>
      </c>
      <c r="AL21">
        <f>IF(OR(AD20&amp;AF20&lt;&gt;AD21&amp;AF21,AK21&lt;AK20),AK20,0)+MAX(AL$4:AL20)</f>
        <v>0</v>
      </c>
      <c r="AM21">
        <f t="shared" si="18"/>
        <v>0</v>
      </c>
      <c r="AO21" s="25" t="str">
        <f t="shared" si="19"/>
        <v/>
      </c>
      <c r="AP21" s="25" t="str">
        <f t="shared" si="6"/>
        <v/>
      </c>
      <c r="AQ21" t="str">
        <f t="shared" si="20"/>
        <v/>
      </c>
      <c r="AR21" t="str">
        <f t="shared" si="7"/>
        <v/>
      </c>
      <c r="AS21">
        <f t="shared" si="8"/>
        <v>0</v>
      </c>
      <c r="AT21">
        <f t="shared" si="21"/>
        <v>0</v>
      </c>
      <c r="AU21" t="str">
        <f>_xlfn.XLOOKUP(AB21,'Order Page'!X$24:X$378,'Order Page'!B$24:B$378,0)</f>
        <v>x6</v>
      </c>
      <c r="AV21">
        <f>_xlfn.XLOOKUP(AB21,'Order Page'!X$24:X$378,'Order Page'!O$24:O$378,0)</f>
        <v>38</v>
      </c>
      <c r="AW21" s="264"/>
      <c r="AX21" t="s">
        <v>671</v>
      </c>
      <c r="AZ21" t="s">
        <v>559</v>
      </c>
      <c r="BA21" t="s">
        <v>560</v>
      </c>
      <c r="BB21" t="s">
        <v>670</v>
      </c>
      <c r="BC21" t="s">
        <v>673</v>
      </c>
      <c r="BD21" t="s">
        <v>672</v>
      </c>
      <c r="BE21" t="s">
        <v>674</v>
      </c>
      <c r="BF21" t="s">
        <v>672</v>
      </c>
    </row>
    <row r="22" spans="1:66" x14ac:dyDescent="0.25">
      <c r="B22" t="s">
        <v>612</v>
      </c>
      <c r="C22">
        <v>30</v>
      </c>
      <c r="D22" s="261">
        <v>0.14199999999999999</v>
      </c>
      <c r="E22" t="s">
        <v>638</v>
      </c>
      <c r="F22">
        <f>SUMIF('Order Page'!R$121:R$194,TB!C22,'Order Page'!U$121:U$194)+SUMIF('Order Page'!R$235:R$247,TB!C22,'Order Page'!U$235:U$247)</f>
        <v>0</v>
      </c>
      <c r="G22" s="262">
        <f t="shared" ref="G22:G28" si="31">F22/7</f>
        <v>0</v>
      </c>
      <c r="H22">
        <f t="shared" si="24"/>
        <v>0</v>
      </c>
      <c r="I22">
        <f>IF(H22&gt;0,MAX(I$5:I21)+1,0)</f>
        <v>0</v>
      </c>
      <c r="J22">
        <v>6</v>
      </c>
      <c r="L22">
        <v>19</v>
      </c>
      <c r="M22">
        <f>_xlfn.XLOOKUP(L22,'Order Page'!X$27:X$393,'Order Page'!T$27:T$393,0)</f>
        <v>0</v>
      </c>
      <c r="N22">
        <f>_xlfn.XLOOKUP(L22,'Order Page'!X$27:X$393,'Order Page'!R$27:R$393,0)</f>
        <v>0</v>
      </c>
      <c r="O22" t="str">
        <f t="shared" si="14"/>
        <v/>
      </c>
      <c r="P22" t="str">
        <f t="shared" si="0"/>
        <v/>
      </c>
      <c r="Q22" s="263"/>
      <c r="R22">
        <v>19</v>
      </c>
      <c r="S22">
        <f t="shared" si="15"/>
        <v>1</v>
      </c>
      <c r="T22">
        <f t="shared" si="16"/>
        <v>0</v>
      </c>
      <c r="U22">
        <f>_xlfn.XLOOKUP(T22,'Order Page'!X$27:X$393,'Order Page'!U$27:U$393,"")</f>
        <v>0</v>
      </c>
      <c r="W22" t="str">
        <f t="shared" si="1"/>
        <v/>
      </c>
      <c r="X22" t="str">
        <f t="shared" si="2"/>
        <v/>
      </c>
      <c r="Y22" t="str">
        <f>_xlfn.XLOOKUP(T22,'Order Page'!X$27:X$393,'Order Page'!C$27:C$393,"")</f>
        <v>Acorus Calamus</v>
      </c>
      <c r="Z22" s="264"/>
      <c r="AA22">
        <v>19</v>
      </c>
      <c r="AB22" cm="1">
        <f t="array" ref="AB22">VLOOKUP(ROW(19:19),S$4:T$153,2)</f>
        <v>0</v>
      </c>
      <c r="AD22" t="str">
        <f t="shared" si="3"/>
        <v/>
      </c>
      <c r="AE22" t="e">
        <f t="shared" si="25"/>
        <v>#N/A</v>
      </c>
      <c r="AF22" t="str">
        <f t="shared" si="4"/>
        <v/>
      </c>
      <c r="AG22" t="str">
        <f>_xlfn.XLOOKUP(AB22,'Order Page'!X$27:X$393,'Order Page'!C$27:C$393,"")</f>
        <v>Acorus Calamus</v>
      </c>
      <c r="AH22">
        <f t="shared" si="26"/>
        <v>0</v>
      </c>
      <c r="AI22">
        <f t="shared" si="5"/>
        <v>0</v>
      </c>
      <c r="AJ22">
        <f t="shared" si="27"/>
        <v>0</v>
      </c>
      <c r="AK22">
        <f t="shared" si="17"/>
        <v>0</v>
      </c>
      <c r="AL22">
        <f>IF(OR(AD21&amp;AF21&lt;&gt;AD22&amp;AF22,AK22&lt;AK21),AK21,0)+MAX(AL$4:AL21)</f>
        <v>0</v>
      </c>
      <c r="AM22">
        <f t="shared" si="18"/>
        <v>0</v>
      </c>
      <c r="AO22" s="25" t="str">
        <f t="shared" si="19"/>
        <v/>
      </c>
      <c r="AP22" s="25" t="str">
        <f t="shared" si="6"/>
        <v/>
      </c>
      <c r="AQ22" t="str">
        <f t="shared" si="20"/>
        <v/>
      </c>
      <c r="AR22" t="str">
        <f t="shared" si="7"/>
        <v/>
      </c>
      <c r="AS22">
        <f t="shared" si="8"/>
        <v>0</v>
      </c>
      <c r="AT22">
        <f t="shared" si="21"/>
        <v>0</v>
      </c>
      <c r="AU22" t="str">
        <f>_xlfn.XLOOKUP(AB22,'Order Page'!X$24:X$378,'Order Page'!B$24:B$378,0)</f>
        <v>x6</v>
      </c>
      <c r="AV22">
        <f>_xlfn.XLOOKUP(AB22,'Order Page'!X$24:X$378,'Order Page'!O$24:O$378,0)</f>
        <v>38</v>
      </c>
      <c r="AW22" s="264"/>
      <c r="AX22">
        <v>1</v>
      </c>
      <c r="AY22" t="e">
        <f t="shared" ref="AY22:AY53" si="32">_xlfn.XLOOKUP(AX22,AR$4:AR$203,AB$4:AB$203)</f>
        <v>#N/A</v>
      </c>
      <c r="AZ22" t="e">
        <f t="shared" ref="AZ22:AZ53" si="33">_xlfn.XLOOKUP(AY22,L$4:L$153,N$4:N$153)</f>
        <v>#N/A</v>
      </c>
      <c r="BA22" t="e">
        <f t="shared" ref="BA22:BA53" si="34">_xlfn.XLOOKUP(AY22,L$4:L$153,M$4:M$153)</f>
        <v>#N/A</v>
      </c>
      <c r="BB22" t="e">
        <f t="shared" ref="BB22:BB53" si="35">_xlfn.XLOOKUP(BA22,B$38:B$46,D$38:D$46)</f>
        <v>#N/A</v>
      </c>
      <c r="BC22" t="e">
        <f>IF(AND(BB$18&lt;1,AZ22&lt;=BC$18),IF(BB$18+BB22+SUMIF(BC$21:BC21,BD$18,BB$21:BB21)&lt;=1,BD$18,0))</f>
        <v>#N/A</v>
      </c>
      <c r="BD22" t="e">
        <f>IF(BC22=0,BB22,0)</f>
        <v>#N/A</v>
      </c>
      <c r="BE22" t="e">
        <f>IF(AND(BB$19&lt;1,AZ22&lt;=BC$19),IF(BB$19+BD22+SUMIF(BE$21:BE21,BD$19,BD$21:BD21)&lt;=1,BD$19,0))</f>
        <v>#N/A</v>
      </c>
      <c r="BF22" t="e">
        <f>IF(BC22+BE22=0,BB22,0)</f>
        <v>#N/A</v>
      </c>
      <c r="BG22">
        <f t="shared" ref="BG22:BG85" si="36">IFERROR(IF(BF22&gt;0,IF(BG23+BF22&lt;=1,BG23+BF22,BG23),BG23),BG23)</f>
        <v>0</v>
      </c>
      <c r="BH22">
        <f t="shared" ref="BH22:BH85" si="37">IFERROR(IF(AND(BF22&gt;0,BG23=BG22),IF(BH23+BF22&lt;=1,BH23+BF22,BH23),BH23),BH23)</f>
        <v>0</v>
      </c>
      <c r="BI22">
        <f>IF(BG22&lt;&gt;BG23,BD$18,IF(BH22&lt;&gt;BH23,BD$19,0))</f>
        <v>0</v>
      </c>
      <c r="BJ22" t="e">
        <f>IF(BI22&gt;0,0,BF22)</f>
        <v>#N/A</v>
      </c>
      <c r="BK22" t="e">
        <f>BJ22</f>
        <v>#N/A</v>
      </c>
      <c r="BL22" t="e">
        <f>IF(BJ22&gt;0,ROUNDDOWN(BK22,0)+BK$20,0)</f>
        <v>#N/A</v>
      </c>
      <c r="BM22" t="e">
        <f t="shared" ref="BM22:BM53" si="38">_xlfn.XLOOKUP(BA22,B$5:B$33,J$5:J$33)</f>
        <v>#N/A</v>
      </c>
      <c r="BN22" t="e">
        <f>BC22+BE22+BI22+BL22</f>
        <v>#N/A</v>
      </c>
    </row>
    <row r="23" spans="1:66" x14ac:dyDescent="0.25">
      <c r="B23" t="s">
        <v>612</v>
      </c>
      <c r="C23">
        <v>35</v>
      </c>
      <c r="D23" s="261">
        <v>0.14199999999999999</v>
      </c>
      <c r="E23" t="s">
        <v>639</v>
      </c>
      <c r="F23">
        <f>SUMIF('Order Page'!R$121:R$194,TB!C23,'Order Page'!U$121:U$194)+SUMIF('Order Page'!R$235:R$247,TB!C23,'Order Page'!U$235:U$247)</f>
        <v>0</v>
      </c>
      <c r="G23" s="262">
        <f t="shared" si="31"/>
        <v>0</v>
      </c>
      <c r="H23">
        <f t="shared" si="24"/>
        <v>0</v>
      </c>
      <c r="I23">
        <f>IF(H23&gt;0,MAX(I$5:I22)+1,0)</f>
        <v>0</v>
      </c>
      <c r="J23">
        <v>6</v>
      </c>
      <c r="L23">
        <v>20</v>
      </c>
      <c r="M23">
        <f>_xlfn.XLOOKUP(L23,'Order Page'!X$27:X$393,'Order Page'!T$27:T$393,0)</f>
        <v>0</v>
      </c>
      <c r="N23">
        <f>_xlfn.XLOOKUP(L23,'Order Page'!X$27:X$393,'Order Page'!R$27:R$393,0)</f>
        <v>0</v>
      </c>
      <c r="O23" t="str">
        <f t="shared" si="14"/>
        <v/>
      </c>
      <c r="P23" t="str">
        <f t="shared" si="0"/>
        <v/>
      </c>
      <c r="Q23" s="263"/>
      <c r="R23">
        <v>20</v>
      </c>
      <c r="S23">
        <f t="shared" si="15"/>
        <v>1</v>
      </c>
      <c r="T23">
        <f t="shared" si="16"/>
        <v>0</v>
      </c>
      <c r="U23">
        <f>_xlfn.XLOOKUP(T23,'Order Page'!X$27:X$393,'Order Page'!U$27:U$393,"")</f>
        <v>0</v>
      </c>
      <c r="W23" t="str">
        <f t="shared" si="1"/>
        <v/>
      </c>
      <c r="X23" t="str">
        <f t="shared" si="2"/>
        <v/>
      </c>
      <c r="Y23" t="str">
        <f>_xlfn.XLOOKUP(T23,'Order Page'!X$27:X$393,'Order Page'!C$27:C$393,"")</f>
        <v>Acorus Calamus</v>
      </c>
      <c r="Z23" s="264"/>
      <c r="AA23">
        <v>20</v>
      </c>
      <c r="AB23" cm="1">
        <f t="array" ref="AB23">VLOOKUP(ROW(20:20),S$4:T$153,2)</f>
        <v>0</v>
      </c>
      <c r="AD23" t="str">
        <f t="shared" si="3"/>
        <v/>
      </c>
      <c r="AE23" t="e">
        <f t="shared" si="25"/>
        <v>#N/A</v>
      </c>
      <c r="AF23" t="str">
        <f t="shared" si="4"/>
        <v/>
      </c>
      <c r="AG23" t="str">
        <f>_xlfn.XLOOKUP(AB23,'Order Page'!X$27:X$393,'Order Page'!C$27:C$393,"")</f>
        <v>Acorus Calamus</v>
      </c>
      <c r="AH23">
        <f t="shared" si="26"/>
        <v>0</v>
      </c>
      <c r="AI23">
        <f t="shared" si="5"/>
        <v>0</v>
      </c>
      <c r="AJ23">
        <f t="shared" si="27"/>
        <v>0</v>
      </c>
      <c r="AK23">
        <f t="shared" si="17"/>
        <v>0</v>
      </c>
      <c r="AL23">
        <f>IF(OR(AD22&amp;AF22&lt;&gt;AD23&amp;AF23,AK23&lt;AK22),AK22,0)+MAX(AL$4:AL22)</f>
        <v>0</v>
      </c>
      <c r="AM23">
        <f t="shared" si="18"/>
        <v>0</v>
      </c>
      <c r="AO23" s="25" t="str">
        <f t="shared" si="19"/>
        <v/>
      </c>
      <c r="AP23" s="25" t="str">
        <f t="shared" si="6"/>
        <v/>
      </c>
      <c r="AQ23" t="str">
        <f t="shared" si="20"/>
        <v/>
      </c>
      <c r="AR23" t="str">
        <f t="shared" si="7"/>
        <v/>
      </c>
      <c r="AS23">
        <f t="shared" si="8"/>
        <v>0</v>
      </c>
      <c r="AT23">
        <f t="shared" si="21"/>
        <v>0</v>
      </c>
      <c r="AU23" t="str">
        <f>_xlfn.XLOOKUP(AB23,'Order Page'!X$24:X$378,'Order Page'!B$24:B$378,0)</f>
        <v>x6</v>
      </c>
      <c r="AV23">
        <f>_xlfn.XLOOKUP(AB23,'Order Page'!X$24:X$378,'Order Page'!O$24:O$378,0)</f>
        <v>38</v>
      </c>
      <c r="AW23" s="264"/>
      <c r="AX23">
        <v>2</v>
      </c>
      <c r="AY23" t="e">
        <f t="shared" si="32"/>
        <v>#N/A</v>
      </c>
      <c r="AZ23" t="e">
        <f t="shared" si="33"/>
        <v>#N/A</v>
      </c>
      <c r="BA23" t="e">
        <f t="shared" si="34"/>
        <v>#N/A</v>
      </c>
      <c r="BB23" t="e">
        <f t="shared" si="35"/>
        <v>#N/A</v>
      </c>
      <c r="BC23" s="325" t="e">
        <f>IF(AND(BB$18&lt;1,AZ23&lt;=BC$18),IF(BB$18+BB23+SUMIF(BC$21:BC22,BD$18,BB$21:BB22)&lt;=1,BD$18,0))</f>
        <v>#N/A</v>
      </c>
      <c r="BD23" t="e">
        <f t="shared" ref="BD23:BD86" si="39">IF(BC23=0,BB23,0)</f>
        <v>#N/A</v>
      </c>
      <c r="BE23" s="325" t="e">
        <f>IF(AND(BB$19&lt;1,AZ23&lt;=BC$19),IF(BB$19+BD23+SUMIF(BE$21:BE22,BD$19,BD$21:BD22)&lt;=1,BD$19,0))</f>
        <v>#N/A</v>
      </c>
      <c r="BF23" t="e">
        <f t="shared" ref="BF23:BF86" si="40">IF(BC23+BE23=0,BB23,0)</f>
        <v>#N/A</v>
      </c>
      <c r="BG23">
        <f t="shared" si="36"/>
        <v>0</v>
      </c>
      <c r="BH23">
        <f t="shared" si="37"/>
        <v>0</v>
      </c>
      <c r="BI23">
        <f>IF(BG23&lt;&gt;BG24,BD$18,IF(BH23&lt;&gt;BH24,BD$19,0))</f>
        <v>0</v>
      </c>
      <c r="BJ23" t="e">
        <f t="shared" ref="BJ23:BJ86" si="41">IF(BI23&gt;0,0,BF23)</f>
        <v>#N/A</v>
      </c>
      <c r="BK23" t="e">
        <f>IF(BJ23=0,BK22,IF(ROUNDDOWN(SUM(BJ$22:BJ23),0)=ROUNDDOWN(SUM(BJ$22:BJ22),0),BK22+BJ23,ROUNDDOWN(SUM(BJ$22:BJ23),0)+BJ23))</f>
        <v>#N/A</v>
      </c>
      <c r="BL23" t="e">
        <f>IF(BJ23&gt;0,ROUNDDOWN(BK23,0)+BK$20,0)</f>
        <v>#N/A</v>
      </c>
      <c r="BM23" t="e">
        <f t="shared" si="38"/>
        <v>#N/A</v>
      </c>
      <c r="BN23" t="e">
        <f t="shared" ref="BN23:BN86" si="42">BC23+BE23+BI23+BL23</f>
        <v>#N/A</v>
      </c>
    </row>
    <row r="24" spans="1:66" x14ac:dyDescent="0.25">
      <c r="B24" t="s">
        <v>612</v>
      </c>
      <c r="C24">
        <v>40</v>
      </c>
      <c r="D24" s="261">
        <v>0.14199999999999999</v>
      </c>
      <c r="E24" t="s">
        <v>640</v>
      </c>
      <c r="F24">
        <f>SUMIF('Order Page'!R$121:R$194,TB!C24,'Order Page'!U$121:U$194)+SUMIF('Order Page'!R$235:R$247,TB!C24,'Order Page'!U$235:U$247)</f>
        <v>0</v>
      </c>
      <c r="G24" s="262">
        <f t="shared" si="31"/>
        <v>0</v>
      </c>
      <c r="H24">
        <f t="shared" si="24"/>
        <v>0</v>
      </c>
      <c r="I24">
        <f>IF(H24&gt;0,MAX(I$5:I23)+1,0)</f>
        <v>0</v>
      </c>
      <c r="J24">
        <v>6</v>
      </c>
      <c r="L24">
        <v>21</v>
      </c>
      <c r="M24">
        <f>_xlfn.XLOOKUP(L24,'Order Page'!X$27:X$393,'Order Page'!T$27:T$393,0)</f>
        <v>0</v>
      </c>
      <c r="N24">
        <f>_xlfn.XLOOKUP(L24,'Order Page'!X$27:X$393,'Order Page'!R$27:R$393,0)</f>
        <v>0</v>
      </c>
      <c r="O24" t="str">
        <f t="shared" si="14"/>
        <v/>
      </c>
      <c r="P24" t="str">
        <f t="shared" si="0"/>
        <v/>
      </c>
      <c r="Q24" s="263"/>
      <c r="R24">
        <v>21</v>
      </c>
      <c r="S24">
        <f t="shared" si="15"/>
        <v>1</v>
      </c>
      <c r="T24">
        <f t="shared" si="16"/>
        <v>0</v>
      </c>
      <c r="U24">
        <f>_xlfn.XLOOKUP(T24,'Order Page'!X$27:X$393,'Order Page'!U$27:U$393,"")</f>
        <v>0</v>
      </c>
      <c r="W24" t="str">
        <f t="shared" si="1"/>
        <v/>
      </c>
      <c r="X24" t="str">
        <f t="shared" si="2"/>
        <v/>
      </c>
      <c r="Y24" t="str">
        <f>_xlfn.XLOOKUP(T24,'Order Page'!X$27:X$393,'Order Page'!C$27:C$393,"")</f>
        <v>Acorus Calamus</v>
      </c>
      <c r="Z24" s="264"/>
      <c r="AA24">
        <v>21</v>
      </c>
      <c r="AB24" cm="1">
        <f t="array" ref="AB24">VLOOKUP(ROW(21:21),S$4:T$153,2)</f>
        <v>0</v>
      </c>
      <c r="AD24" t="str">
        <f t="shared" si="3"/>
        <v/>
      </c>
      <c r="AE24" t="e">
        <f t="shared" si="25"/>
        <v>#N/A</v>
      </c>
      <c r="AF24" t="str">
        <f t="shared" si="4"/>
        <v/>
      </c>
      <c r="AG24" t="str">
        <f>_xlfn.XLOOKUP(AB24,'Order Page'!X$27:X$393,'Order Page'!C$27:C$393,"")</f>
        <v>Acorus Calamus</v>
      </c>
      <c r="AH24">
        <f t="shared" si="26"/>
        <v>0</v>
      </c>
      <c r="AI24">
        <f t="shared" si="5"/>
        <v>0</v>
      </c>
      <c r="AJ24">
        <f t="shared" si="27"/>
        <v>0</v>
      </c>
      <c r="AK24">
        <f t="shared" si="17"/>
        <v>0</v>
      </c>
      <c r="AL24">
        <f>IF(OR(AD23&amp;AF23&lt;&gt;AD24&amp;AF24,AK24&lt;AK23),AK23,0)+MAX(AL$4:AL23)</f>
        <v>0</v>
      </c>
      <c r="AM24">
        <f t="shared" si="18"/>
        <v>0</v>
      </c>
      <c r="AO24" s="25" t="str">
        <f t="shared" si="19"/>
        <v/>
      </c>
      <c r="AP24" s="25" t="str">
        <f t="shared" si="6"/>
        <v/>
      </c>
      <c r="AQ24" t="str">
        <f t="shared" si="20"/>
        <v/>
      </c>
      <c r="AR24" t="str">
        <f t="shared" si="7"/>
        <v/>
      </c>
      <c r="AS24">
        <f t="shared" si="8"/>
        <v>0</v>
      </c>
      <c r="AT24">
        <f t="shared" si="21"/>
        <v>0</v>
      </c>
      <c r="AU24" t="str">
        <f>_xlfn.XLOOKUP(AB24,'Order Page'!X$24:X$378,'Order Page'!B$24:B$378,0)</f>
        <v>x6</v>
      </c>
      <c r="AV24">
        <f>_xlfn.XLOOKUP(AB24,'Order Page'!X$24:X$378,'Order Page'!O$24:O$378,0)</f>
        <v>38</v>
      </c>
      <c r="AW24" s="264"/>
      <c r="AX24">
        <v>3</v>
      </c>
      <c r="AY24" t="e">
        <f t="shared" si="32"/>
        <v>#N/A</v>
      </c>
      <c r="AZ24" t="e">
        <f t="shared" si="33"/>
        <v>#N/A</v>
      </c>
      <c r="BA24" t="e">
        <f t="shared" si="34"/>
        <v>#N/A</v>
      </c>
      <c r="BB24" t="e">
        <f t="shared" si="35"/>
        <v>#N/A</v>
      </c>
      <c r="BC24" s="325" t="e">
        <f>IF(AND(BB$18&lt;1,AZ24&lt;=BC$18),IF(BB$18+BB24+SUMIF(BC$21:BC23,BD$18,BB$21:BB23)&lt;=1,BD$18,0))</f>
        <v>#N/A</v>
      </c>
      <c r="BD24" t="e">
        <f t="shared" si="39"/>
        <v>#N/A</v>
      </c>
      <c r="BE24" s="325" t="e">
        <f>IF(AND(BB$19&lt;1,AZ24&lt;=BC$19),IF(BB$19+BD24+SUMIF(BE$21:BE23,BD$19,BD$21:BD23)&lt;=1,BD$19,0))</f>
        <v>#N/A</v>
      </c>
      <c r="BF24" t="e">
        <f t="shared" si="40"/>
        <v>#N/A</v>
      </c>
      <c r="BG24">
        <f t="shared" si="36"/>
        <v>0</v>
      </c>
      <c r="BH24">
        <f t="shared" si="37"/>
        <v>0</v>
      </c>
      <c r="BI24">
        <f t="shared" ref="BI24:BI85" si="43">IF(BG24&lt;&gt;BG25,BD$18,IF(BH24&lt;&gt;BH25,BD$19,0))</f>
        <v>0</v>
      </c>
      <c r="BJ24" t="e">
        <f t="shared" si="41"/>
        <v>#N/A</v>
      </c>
      <c r="BK24" t="e">
        <f>IF(BJ24=0,BK23,IF(ROUNDDOWN(SUM(BJ$22:BJ24),0)=ROUNDDOWN(SUM(BJ$22:BJ23),0),BK23+BJ24,ROUNDDOWN(SUM(BJ$22:BJ24),0)+BJ24))</f>
        <v>#N/A</v>
      </c>
      <c r="BL24" t="e">
        <f t="shared" ref="BL24:BL87" si="44">IF(BJ24&gt;0,ROUNDDOWN(BK24,0)+BK$20,0)</f>
        <v>#N/A</v>
      </c>
      <c r="BM24" t="e">
        <f t="shared" si="38"/>
        <v>#N/A</v>
      </c>
      <c r="BN24" t="e">
        <f t="shared" si="42"/>
        <v>#N/A</v>
      </c>
    </row>
    <row r="25" spans="1:66" x14ac:dyDescent="0.25">
      <c r="B25" t="s">
        <v>612</v>
      </c>
      <c r="C25">
        <v>45</v>
      </c>
      <c r="D25" s="261">
        <v>0.14199999999999999</v>
      </c>
      <c r="E25" t="s">
        <v>641</v>
      </c>
      <c r="F25">
        <f>SUMIF('Order Page'!R$121:R$194,TB!C25,'Order Page'!U$121:U$194)+SUMIF('Order Page'!R$235:R$247,TB!C25,'Order Page'!U$235:U$247)</f>
        <v>0</v>
      </c>
      <c r="G25" s="262">
        <f t="shared" si="31"/>
        <v>0</v>
      </c>
      <c r="H25">
        <f t="shared" si="24"/>
        <v>0</v>
      </c>
      <c r="I25">
        <f>IF(H25&gt;0,MAX(I$5:I24)+1,0)</f>
        <v>0</v>
      </c>
      <c r="J25">
        <v>6</v>
      </c>
      <c r="L25">
        <v>22</v>
      </c>
      <c r="M25">
        <f>_xlfn.XLOOKUP(L25,'Order Page'!X$27:X$393,'Order Page'!T$27:T$393,0)</f>
        <v>0</v>
      </c>
      <c r="N25">
        <f>_xlfn.XLOOKUP(L25,'Order Page'!X$27:X$393,'Order Page'!R$27:R$393,0)</f>
        <v>0</v>
      </c>
      <c r="O25" t="str">
        <f t="shared" si="14"/>
        <v/>
      </c>
      <c r="P25" t="str">
        <f t="shared" si="0"/>
        <v/>
      </c>
      <c r="Q25" s="263"/>
      <c r="R25">
        <v>22</v>
      </c>
      <c r="S25">
        <f t="shared" si="15"/>
        <v>1</v>
      </c>
      <c r="T25">
        <f t="shared" si="16"/>
        <v>0</v>
      </c>
      <c r="U25">
        <f>_xlfn.XLOOKUP(T25,'Order Page'!X$27:X$393,'Order Page'!U$27:U$393,"")</f>
        <v>0</v>
      </c>
      <c r="W25" t="str">
        <f t="shared" si="1"/>
        <v/>
      </c>
      <c r="X25" t="str">
        <f t="shared" si="2"/>
        <v/>
      </c>
      <c r="Y25" t="str">
        <f>_xlfn.XLOOKUP(T25,'Order Page'!X$27:X$393,'Order Page'!C$27:C$393,"")</f>
        <v>Acorus Calamus</v>
      </c>
      <c r="Z25" s="264"/>
      <c r="AA25">
        <v>22</v>
      </c>
      <c r="AB25" cm="1">
        <f t="array" ref="AB25">VLOOKUP(ROW(22:22),S$4:T$153,2)</f>
        <v>0</v>
      </c>
      <c r="AD25" t="str">
        <f t="shared" si="3"/>
        <v/>
      </c>
      <c r="AE25" t="e">
        <f t="shared" si="25"/>
        <v>#N/A</v>
      </c>
      <c r="AF25" t="str">
        <f t="shared" si="4"/>
        <v/>
      </c>
      <c r="AG25" t="str">
        <f>_xlfn.XLOOKUP(AB25,'Order Page'!X$27:X$393,'Order Page'!C$27:C$393,"")</f>
        <v>Acorus Calamus</v>
      </c>
      <c r="AH25">
        <f t="shared" si="26"/>
        <v>0</v>
      </c>
      <c r="AI25">
        <f t="shared" si="5"/>
        <v>0</v>
      </c>
      <c r="AJ25">
        <f t="shared" si="27"/>
        <v>0</v>
      </c>
      <c r="AK25">
        <f t="shared" si="17"/>
        <v>0</v>
      </c>
      <c r="AL25">
        <f>IF(OR(AD24&amp;AF24&lt;&gt;AD25&amp;AF25,AK25&lt;AK24),AK24,0)+MAX(AL$4:AL24)</f>
        <v>0</v>
      </c>
      <c r="AM25">
        <f t="shared" si="18"/>
        <v>0</v>
      </c>
      <c r="AO25" s="25" t="str">
        <f t="shared" si="19"/>
        <v/>
      </c>
      <c r="AP25" s="25" t="str">
        <f t="shared" si="6"/>
        <v/>
      </c>
      <c r="AQ25" t="str">
        <f t="shared" si="20"/>
        <v/>
      </c>
      <c r="AR25" t="str">
        <f t="shared" si="7"/>
        <v/>
      </c>
      <c r="AS25">
        <f t="shared" si="8"/>
        <v>0</v>
      </c>
      <c r="AT25">
        <f t="shared" si="21"/>
        <v>0</v>
      </c>
      <c r="AU25" t="str">
        <f>_xlfn.XLOOKUP(AB25,'Order Page'!X$24:X$378,'Order Page'!B$24:B$378,0)</f>
        <v>x6</v>
      </c>
      <c r="AV25">
        <f>_xlfn.XLOOKUP(AB25,'Order Page'!X$24:X$378,'Order Page'!O$24:O$378,0)</f>
        <v>38</v>
      </c>
      <c r="AW25" s="264"/>
      <c r="AX25">
        <v>4</v>
      </c>
      <c r="AY25" t="e">
        <f t="shared" si="32"/>
        <v>#N/A</v>
      </c>
      <c r="AZ25" t="e">
        <f t="shared" si="33"/>
        <v>#N/A</v>
      </c>
      <c r="BA25" t="e">
        <f t="shared" si="34"/>
        <v>#N/A</v>
      </c>
      <c r="BB25" t="e">
        <f t="shared" si="35"/>
        <v>#N/A</v>
      </c>
      <c r="BC25" s="325" t="e">
        <f>IF(AND(BB$18&lt;1,AZ25&lt;=BC$18),IF(BB$18+BB25+SUMIF(BC$21:BC24,BD$18,BB$21:BB24)&lt;=1,BD$18,0))</f>
        <v>#N/A</v>
      </c>
      <c r="BD25" t="e">
        <f t="shared" si="39"/>
        <v>#N/A</v>
      </c>
      <c r="BE25" s="325" t="e">
        <f>IF(AND(BB$19&lt;1,AZ25&lt;=BC$19),IF(BB$19+BD25+SUMIF(BE$21:BE24,BD$19,BD$21:BD24)&lt;=1,BD$19,0))</f>
        <v>#N/A</v>
      </c>
      <c r="BF25" t="e">
        <f>IF(BC25+BE25=0,BB25,0)</f>
        <v>#N/A</v>
      </c>
      <c r="BG25">
        <f t="shared" si="36"/>
        <v>0</v>
      </c>
      <c r="BH25">
        <f t="shared" si="37"/>
        <v>0</v>
      </c>
      <c r="BI25">
        <f t="shared" si="43"/>
        <v>0</v>
      </c>
      <c r="BJ25" t="e">
        <f t="shared" si="41"/>
        <v>#N/A</v>
      </c>
      <c r="BK25" t="e">
        <f>IF(BJ25=0,BK24,IF(ROUNDDOWN(SUM(BJ$22:BJ25),0)=ROUNDDOWN(SUM(BJ$22:BJ24),0),BK24+BJ25,ROUNDDOWN(SUM(BJ$22:BJ25),0)+BJ25))</f>
        <v>#N/A</v>
      </c>
      <c r="BL25" t="e">
        <f t="shared" si="44"/>
        <v>#N/A</v>
      </c>
      <c r="BM25" t="e">
        <f t="shared" si="38"/>
        <v>#N/A</v>
      </c>
      <c r="BN25" t="e">
        <f>BC25+BE25+BI25+BL25</f>
        <v>#N/A</v>
      </c>
    </row>
    <row r="26" spans="1:66" x14ac:dyDescent="0.25">
      <c r="B26" t="s">
        <v>612</v>
      </c>
      <c r="C26">
        <v>50</v>
      </c>
      <c r="D26" s="261">
        <v>0.14199999999999999</v>
      </c>
      <c r="E26" t="s">
        <v>642</v>
      </c>
      <c r="F26">
        <f>SUMIF('Order Page'!R$121:R$194,TB!C26,'Order Page'!U$121:U$194)+SUMIF('Order Page'!R$235:R$247,TB!C26,'Order Page'!U$235:U$247)</f>
        <v>0</v>
      </c>
      <c r="G26" s="262">
        <f t="shared" si="31"/>
        <v>0</v>
      </c>
      <c r="H26">
        <f t="shared" si="24"/>
        <v>0</v>
      </c>
      <c r="I26">
        <f>IF(H26&gt;0,MAX(I$5:I25)+1,0)</f>
        <v>0</v>
      </c>
      <c r="J26">
        <v>6</v>
      </c>
      <c r="L26">
        <v>23</v>
      </c>
      <c r="M26">
        <f>_xlfn.XLOOKUP(L26,'Order Page'!X$27:X$393,'Order Page'!T$27:T$393,0)</f>
        <v>0</v>
      </c>
      <c r="N26">
        <f>_xlfn.XLOOKUP(L26,'Order Page'!X$27:X$393,'Order Page'!R$27:R$393,0)</f>
        <v>0</v>
      </c>
      <c r="O26" t="str">
        <f t="shared" si="14"/>
        <v/>
      </c>
      <c r="P26" t="str">
        <f t="shared" si="0"/>
        <v/>
      </c>
      <c r="Q26" s="263"/>
      <c r="R26">
        <v>23</v>
      </c>
      <c r="S26">
        <f t="shared" si="15"/>
        <v>1</v>
      </c>
      <c r="T26">
        <f t="shared" si="16"/>
        <v>0</v>
      </c>
      <c r="U26">
        <f>_xlfn.XLOOKUP(T26,'Order Page'!X$27:X$393,'Order Page'!U$27:U$393,"")</f>
        <v>0</v>
      </c>
      <c r="W26" t="str">
        <f t="shared" si="1"/>
        <v/>
      </c>
      <c r="X26" t="str">
        <f t="shared" si="2"/>
        <v/>
      </c>
      <c r="Y26" t="str">
        <f>_xlfn.XLOOKUP(T26,'Order Page'!X$27:X$393,'Order Page'!C$27:C$393,"")</f>
        <v>Acorus Calamus</v>
      </c>
      <c r="Z26" s="264"/>
      <c r="AA26">
        <v>23</v>
      </c>
      <c r="AB26" cm="1">
        <f t="array" ref="AB26">VLOOKUP(ROW(23:23),S$4:T$153,2)</f>
        <v>0</v>
      </c>
      <c r="AD26" t="str">
        <f t="shared" si="3"/>
        <v/>
      </c>
      <c r="AE26" t="e">
        <f t="shared" si="25"/>
        <v>#N/A</v>
      </c>
      <c r="AF26" t="str">
        <f t="shared" si="4"/>
        <v/>
      </c>
      <c r="AG26" t="str">
        <f>_xlfn.XLOOKUP(AB26,'Order Page'!X$27:X$393,'Order Page'!C$27:C$393,"")</f>
        <v>Acorus Calamus</v>
      </c>
      <c r="AH26">
        <f t="shared" si="26"/>
        <v>0</v>
      </c>
      <c r="AI26">
        <f t="shared" si="5"/>
        <v>0</v>
      </c>
      <c r="AJ26">
        <f t="shared" si="27"/>
        <v>0</v>
      </c>
      <c r="AK26">
        <f t="shared" si="17"/>
        <v>0</v>
      </c>
      <c r="AL26">
        <f>IF(OR(AD25&amp;AF25&lt;&gt;AD26&amp;AF26,AK26&lt;AK25),AK25,0)+MAX(AL$4:AL25)</f>
        <v>0</v>
      </c>
      <c r="AM26">
        <f t="shared" si="18"/>
        <v>0</v>
      </c>
      <c r="AO26" s="25" t="str">
        <f t="shared" si="19"/>
        <v/>
      </c>
      <c r="AP26" s="25" t="str">
        <f t="shared" si="6"/>
        <v/>
      </c>
      <c r="AQ26" t="str">
        <f t="shared" si="20"/>
        <v/>
      </c>
      <c r="AR26" t="str">
        <f t="shared" si="7"/>
        <v/>
      </c>
      <c r="AS26">
        <f t="shared" si="8"/>
        <v>0</v>
      </c>
      <c r="AT26">
        <f t="shared" si="21"/>
        <v>0</v>
      </c>
      <c r="AU26" t="str">
        <f>_xlfn.XLOOKUP(AB26,'Order Page'!X$24:X$378,'Order Page'!B$24:B$378,0)</f>
        <v>x6</v>
      </c>
      <c r="AV26">
        <f>_xlfn.XLOOKUP(AB26,'Order Page'!X$24:X$378,'Order Page'!O$24:O$378,0)</f>
        <v>38</v>
      </c>
      <c r="AW26" s="264"/>
      <c r="AX26">
        <v>5</v>
      </c>
      <c r="AY26" t="e">
        <f t="shared" si="32"/>
        <v>#N/A</v>
      </c>
      <c r="AZ26" t="e">
        <f t="shared" si="33"/>
        <v>#N/A</v>
      </c>
      <c r="BA26" t="e">
        <f t="shared" si="34"/>
        <v>#N/A</v>
      </c>
      <c r="BB26" t="e">
        <f t="shared" si="35"/>
        <v>#N/A</v>
      </c>
      <c r="BC26" s="325" t="e">
        <f>IF(AND(BB$18&lt;1,AZ26&lt;=BC$18),IF(BB$18+BB26+SUMIF(BC$21:BC25,BD$18,BB$21:BB25)&lt;=1,BD$18,0))</f>
        <v>#N/A</v>
      </c>
      <c r="BD26" t="e">
        <f t="shared" si="39"/>
        <v>#N/A</v>
      </c>
      <c r="BE26" s="325" t="e">
        <f>IF(AND(BB$19&lt;1,AZ26&lt;=BC$19),IF(BB$19+BD26+SUMIF(BE$21:BE25,BD$19,BD$21:BD25)&lt;=1,BD$19,0))</f>
        <v>#N/A</v>
      </c>
      <c r="BF26" t="e">
        <f t="shared" si="40"/>
        <v>#N/A</v>
      </c>
      <c r="BG26">
        <f t="shared" si="36"/>
        <v>0</v>
      </c>
      <c r="BH26">
        <f t="shared" si="37"/>
        <v>0</v>
      </c>
      <c r="BI26">
        <f t="shared" si="43"/>
        <v>0</v>
      </c>
      <c r="BJ26" t="e">
        <f t="shared" si="41"/>
        <v>#N/A</v>
      </c>
      <c r="BK26" t="e">
        <f>IF(BJ26=0,BK25,IF(ROUNDDOWN(SUM(BJ$22:BJ26),0)=ROUNDDOWN(SUM(BJ$22:BJ25),0),BK25+BJ26,ROUNDDOWN(SUM(BJ$22:BJ26),0)+BJ26))</f>
        <v>#N/A</v>
      </c>
      <c r="BL26" t="e">
        <f t="shared" si="44"/>
        <v>#N/A</v>
      </c>
      <c r="BM26" t="e">
        <f t="shared" si="38"/>
        <v>#N/A</v>
      </c>
      <c r="BN26" t="e">
        <f t="shared" si="42"/>
        <v>#N/A</v>
      </c>
    </row>
    <row r="27" spans="1:66" x14ac:dyDescent="0.25">
      <c r="B27" t="s">
        <v>612</v>
      </c>
      <c r="C27">
        <v>55</v>
      </c>
      <c r="D27" s="261">
        <v>0.14199999999999999</v>
      </c>
      <c r="E27" t="s">
        <v>643</v>
      </c>
      <c r="F27">
        <f>SUMIF('Order Page'!R$121:R$194,TB!C27,'Order Page'!U$121:U$194)+SUMIF('Order Page'!R$235:R$247,TB!C27,'Order Page'!U$235:U$247)</f>
        <v>0</v>
      </c>
      <c r="G27" s="262">
        <f t="shared" si="31"/>
        <v>0</v>
      </c>
      <c r="H27">
        <f t="shared" si="24"/>
        <v>0</v>
      </c>
      <c r="I27">
        <f>IF(H27&gt;0,MAX(I$5:I26)+1,0)</f>
        <v>0</v>
      </c>
      <c r="J27">
        <v>6</v>
      </c>
      <c r="L27">
        <v>24</v>
      </c>
      <c r="M27">
        <f>_xlfn.XLOOKUP(L27,'Order Page'!X$27:X$393,'Order Page'!T$27:T$393,0)</f>
        <v>0</v>
      </c>
      <c r="N27">
        <f>_xlfn.XLOOKUP(L27,'Order Page'!X$27:X$393,'Order Page'!R$27:R$393,0)</f>
        <v>0</v>
      </c>
      <c r="O27" t="str">
        <f t="shared" si="14"/>
        <v/>
      </c>
      <c r="P27" t="str">
        <f t="shared" si="0"/>
        <v/>
      </c>
      <c r="Q27" s="263"/>
      <c r="R27">
        <v>24</v>
      </c>
      <c r="S27">
        <f t="shared" si="15"/>
        <v>1</v>
      </c>
      <c r="T27">
        <f t="shared" si="16"/>
        <v>0</v>
      </c>
      <c r="U27">
        <f>_xlfn.XLOOKUP(T27,'Order Page'!X$27:X$393,'Order Page'!U$27:U$393,"")</f>
        <v>0</v>
      </c>
      <c r="W27" t="str">
        <f t="shared" si="1"/>
        <v/>
      </c>
      <c r="X27" t="str">
        <f t="shared" si="2"/>
        <v/>
      </c>
      <c r="Y27" t="str">
        <f>_xlfn.XLOOKUP(T27,'Order Page'!X$27:X$393,'Order Page'!C$27:C$393,"")</f>
        <v>Acorus Calamus</v>
      </c>
      <c r="Z27" s="264"/>
      <c r="AA27">
        <v>24</v>
      </c>
      <c r="AB27" cm="1">
        <f t="array" ref="AB27">VLOOKUP(ROW(24:24),S$4:T$153,2)</f>
        <v>0</v>
      </c>
      <c r="AD27" t="str">
        <f t="shared" si="3"/>
        <v/>
      </c>
      <c r="AE27" t="e">
        <f t="shared" si="25"/>
        <v>#N/A</v>
      </c>
      <c r="AF27" t="str">
        <f t="shared" si="4"/>
        <v/>
      </c>
      <c r="AG27" t="str">
        <f>_xlfn.XLOOKUP(AB27,'Order Page'!X$27:X$393,'Order Page'!C$27:C$393,"")</f>
        <v>Acorus Calamus</v>
      </c>
      <c r="AH27">
        <f t="shared" si="26"/>
        <v>0</v>
      </c>
      <c r="AI27">
        <f t="shared" si="5"/>
        <v>0</v>
      </c>
      <c r="AJ27">
        <f t="shared" si="27"/>
        <v>0</v>
      </c>
      <c r="AK27">
        <f t="shared" si="17"/>
        <v>0</v>
      </c>
      <c r="AL27">
        <f>IF(OR(AD26&amp;AF26&lt;&gt;AD27&amp;AF27,AK27&lt;AK26),AK26,0)+MAX(AL$4:AL26)</f>
        <v>0</v>
      </c>
      <c r="AM27">
        <f t="shared" si="18"/>
        <v>0</v>
      </c>
      <c r="AO27" s="25" t="str">
        <f t="shared" si="19"/>
        <v/>
      </c>
      <c r="AP27" s="25" t="str">
        <f t="shared" si="6"/>
        <v/>
      </c>
      <c r="AQ27" t="str">
        <f t="shared" si="20"/>
        <v/>
      </c>
      <c r="AR27" t="str">
        <f t="shared" si="7"/>
        <v/>
      </c>
      <c r="AS27">
        <f t="shared" si="8"/>
        <v>0</v>
      </c>
      <c r="AT27">
        <f t="shared" si="21"/>
        <v>0</v>
      </c>
      <c r="AU27" t="str">
        <f>_xlfn.XLOOKUP(AB27,'Order Page'!X$24:X$378,'Order Page'!B$24:B$378,0)</f>
        <v>x6</v>
      </c>
      <c r="AV27">
        <f>_xlfn.XLOOKUP(AB27,'Order Page'!X$24:X$378,'Order Page'!O$24:O$378,0)</f>
        <v>38</v>
      </c>
      <c r="AW27" s="264"/>
      <c r="AX27">
        <v>6</v>
      </c>
      <c r="AY27" t="e">
        <f t="shared" si="32"/>
        <v>#N/A</v>
      </c>
      <c r="AZ27" t="e">
        <f t="shared" si="33"/>
        <v>#N/A</v>
      </c>
      <c r="BA27" t="e">
        <f t="shared" si="34"/>
        <v>#N/A</v>
      </c>
      <c r="BB27" t="e">
        <f t="shared" si="35"/>
        <v>#N/A</v>
      </c>
      <c r="BC27" s="325" t="e">
        <f>IF(AND(BB$18&lt;1,AZ27&lt;=BC$18),IF(BB$18+BB27+SUMIF(BC$21:BC26,BD$18,BB$21:BB26)&lt;=1,BD$18,0))</f>
        <v>#N/A</v>
      </c>
      <c r="BD27" t="e">
        <f t="shared" si="39"/>
        <v>#N/A</v>
      </c>
      <c r="BE27" s="325" t="e">
        <f>IF(AND(BB$19&lt;1,AZ27&lt;=BC$19),IF(BB$19+BD27+SUMIF(BE$21:BE26,BD$19,BD$21:BD26)&lt;=1,BD$19,0))</f>
        <v>#N/A</v>
      </c>
      <c r="BF27" t="e">
        <f t="shared" si="40"/>
        <v>#N/A</v>
      </c>
      <c r="BG27">
        <f t="shared" si="36"/>
        <v>0</v>
      </c>
      <c r="BH27">
        <f t="shared" si="37"/>
        <v>0</v>
      </c>
      <c r="BI27">
        <f t="shared" si="43"/>
        <v>0</v>
      </c>
      <c r="BJ27" t="e">
        <f t="shared" si="41"/>
        <v>#N/A</v>
      </c>
      <c r="BK27" t="e">
        <f>IF(BJ27=0,BK26,IF(ROUNDDOWN(SUM(BJ$22:BJ27),0)=ROUNDDOWN(SUM(BJ$22:BJ26),0),BK26+BJ27,ROUNDDOWN(SUM(BJ$22:BJ27),0)+BJ27))</f>
        <v>#N/A</v>
      </c>
      <c r="BL27" t="e">
        <f t="shared" si="44"/>
        <v>#N/A</v>
      </c>
      <c r="BM27" t="e">
        <f t="shared" si="38"/>
        <v>#N/A</v>
      </c>
      <c r="BN27" t="e">
        <f t="shared" si="42"/>
        <v>#N/A</v>
      </c>
    </row>
    <row r="28" spans="1:66" x14ac:dyDescent="0.25">
      <c r="B28" t="s">
        <v>612</v>
      </c>
      <c r="C28">
        <v>60</v>
      </c>
      <c r="D28" s="261">
        <v>0.14199999999999999</v>
      </c>
      <c r="E28" t="s">
        <v>644</v>
      </c>
      <c r="F28">
        <f>SUMIF('Order Page'!R$121:R$194,TB!C28,'Order Page'!U$121:U$194)+SUMIF('Order Page'!R$235:R$247,TB!C28,'Order Page'!U$235:U$247)</f>
        <v>0</v>
      </c>
      <c r="G28" s="262">
        <f t="shared" si="31"/>
        <v>0</v>
      </c>
      <c r="H28">
        <f t="shared" si="24"/>
        <v>0</v>
      </c>
      <c r="I28">
        <f>IF(H28&gt;0,MAX(I$5:I27)+1,0)</f>
        <v>0</v>
      </c>
      <c r="J28">
        <v>6</v>
      </c>
      <c r="L28">
        <v>25</v>
      </c>
      <c r="M28">
        <f>_xlfn.XLOOKUP(L28,'Order Page'!X$27:X$393,'Order Page'!T$27:T$393,0)</f>
        <v>0</v>
      </c>
      <c r="N28">
        <f>_xlfn.XLOOKUP(L28,'Order Page'!X$27:X$393,'Order Page'!R$27:R$393,0)</f>
        <v>0</v>
      </c>
      <c r="O28" t="str">
        <f t="shared" si="14"/>
        <v/>
      </c>
      <c r="P28" t="str">
        <f t="shared" si="0"/>
        <v/>
      </c>
      <c r="Q28" s="263"/>
      <c r="R28">
        <v>25</v>
      </c>
      <c r="S28">
        <f t="shared" si="15"/>
        <v>1</v>
      </c>
      <c r="T28">
        <f t="shared" si="16"/>
        <v>0</v>
      </c>
      <c r="U28">
        <f>_xlfn.XLOOKUP(T28,'Order Page'!X$27:X$393,'Order Page'!U$27:U$393,"")</f>
        <v>0</v>
      </c>
      <c r="W28" t="str">
        <f t="shared" si="1"/>
        <v/>
      </c>
      <c r="X28" t="str">
        <f t="shared" si="2"/>
        <v/>
      </c>
      <c r="Y28" t="str">
        <f>_xlfn.XLOOKUP(T28,'Order Page'!X$27:X$393,'Order Page'!C$27:C$393,"")</f>
        <v>Acorus Calamus</v>
      </c>
      <c r="Z28" s="264"/>
      <c r="AA28">
        <v>25</v>
      </c>
      <c r="AB28" cm="1">
        <f t="array" ref="AB28">VLOOKUP(ROW(25:25),S$4:T$153,2)</f>
        <v>0</v>
      </c>
      <c r="AD28" t="str">
        <f t="shared" si="3"/>
        <v/>
      </c>
      <c r="AE28" t="e">
        <f t="shared" si="25"/>
        <v>#N/A</v>
      </c>
      <c r="AF28" t="str">
        <f t="shared" si="4"/>
        <v/>
      </c>
      <c r="AG28" t="str">
        <f>_xlfn.XLOOKUP(AB28,'Order Page'!X$27:X$393,'Order Page'!C$27:C$393,"")</f>
        <v>Acorus Calamus</v>
      </c>
      <c r="AH28">
        <f t="shared" si="26"/>
        <v>0</v>
      </c>
      <c r="AI28">
        <f t="shared" si="5"/>
        <v>0</v>
      </c>
      <c r="AJ28">
        <f t="shared" si="27"/>
        <v>0</v>
      </c>
      <c r="AK28">
        <f t="shared" si="17"/>
        <v>0</v>
      </c>
      <c r="AL28">
        <f>IF(OR(AD27&amp;AF27&lt;&gt;AD28&amp;AF28,AK28&lt;AK27),AK27,0)+MAX(AL$4:AL27)</f>
        <v>0</v>
      </c>
      <c r="AM28">
        <f t="shared" si="18"/>
        <v>0</v>
      </c>
      <c r="AO28" s="25" t="str">
        <f t="shared" si="19"/>
        <v/>
      </c>
      <c r="AP28" s="25" t="str">
        <f t="shared" si="6"/>
        <v/>
      </c>
      <c r="AQ28" t="str">
        <f t="shared" si="20"/>
        <v/>
      </c>
      <c r="AR28" t="str">
        <f t="shared" si="7"/>
        <v/>
      </c>
      <c r="AS28">
        <f t="shared" si="8"/>
        <v>0</v>
      </c>
      <c r="AT28">
        <f t="shared" si="21"/>
        <v>0</v>
      </c>
      <c r="AU28" t="str">
        <f>_xlfn.XLOOKUP(AB28,'Order Page'!X$24:X$378,'Order Page'!B$24:B$378,0)</f>
        <v>x6</v>
      </c>
      <c r="AV28">
        <f>_xlfn.XLOOKUP(AB28,'Order Page'!X$24:X$378,'Order Page'!O$24:O$378,0)</f>
        <v>38</v>
      </c>
      <c r="AW28" s="264"/>
      <c r="AX28">
        <v>7</v>
      </c>
      <c r="AY28" t="e">
        <f t="shared" si="32"/>
        <v>#N/A</v>
      </c>
      <c r="AZ28" t="e">
        <f t="shared" si="33"/>
        <v>#N/A</v>
      </c>
      <c r="BA28" t="e">
        <f t="shared" si="34"/>
        <v>#N/A</v>
      </c>
      <c r="BB28" t="e">
        <f t="shared" si="35"/>
        <v>#N/A</v>
      </c>
      <c r="BC28" s="325" t="e">
        <f>IF(AND(BB$18&lt;1,AZ28&lt;=BC$18),IF(BB$18+BB28+SUMIF(BC$21:BC27,BD$18,BB$21:BB27)&lt;=1,BD$18,0))</f>
        <v>#N/A</v>
      </c>
      <c r="BD28" t="e">
        <f t="shared" si="39"/>
        <v>#N/A</v>
      </c>
      <c r="BE28" s="325" t="e">
        <f>IF(AND(BB$19&lt;1,AZ28&lt;=BC$19),IF(BB$19+BD28+SUMIF(BE$21:BE27,BD$19,BD$21:BD27)&lt;=1,BD$19,0))</f>
        <v>#N/A</v>
      </c>
      <c r="BF28" t="e">
        <f t="shared" si="40"/>
        <v>#N/A</v>
      </c>
      <c r="BG28">
        <f t="shared" si="36"/>
        <v>0</v>
      </c>
      <c r="BH28">
        <f t="shared" si="37"/>
        <v>0</v>
      </c>
      <c r="BI28">
        <f t="shared" si="43"/>
        <v>0</v>
      </c>
      <c r="BJ28" t="e">
        <f t="shared" si="41"/>
        <v>#N/A</v>
      </c>
      <c r="BK28" t="e">
        <f>IF(BJ28=0,BK27,IF(ROUNDDOWN(SUM(BJ$22:BJ28),0)=ROUNDDOWN(SUM(BJ$22:BJ27),0),BK27+BJ28,ROUNDDOWN(SUM(BJ$22:BJ28),0)+BJ28))</f>
        <v>#N/A</v>
      </c>
      <c r="BL28" t="e">
        <f t="shared" si="44"/>
        <v>#N/A</v>
      </c>
      <c r="BM28" t="e">
        <f t="shared" si="38"/>
        <v>#N/A</v>
      </c>
      <c r="BN28" t="e">
        <f t="shared" si="42"/>
        <v>#N/A</v>
      </c>
    </row>
    <row r="29" spans="1:66" x14ac:dyDescent="0.25">
      <c r="B29" t="s">
        <v>577</v>
      </c>
      <c r="C29">
        <f>'Order Page'!R200</f>
        <v>35</v>
      </c>
      <c r="D29" s="261">
        <v>0.2</v>
      </c>
      <c r="E29" t="s">
        <v>645</v>
      </c>
      <c r="F29">
        <f>'Order Page'!A200</f>
        <v>0</v>
      </c>
      <c r="G29" s="262">
        <f>F29/5</f>
        <v>0</v>
      </c>
      <c r="H29">
        <f t="shared" si="24"/>
        <v>0</v>
      </c>
      <c r="I29">
        <f>IF(H29&gt;0,MAX(I$5:I28)+1,0)</f>
        <v>0</v>
      </c>
      <c r="J29">
        <v>6</v>
      </c>
      <c r="L29">
        <v>26</v>
      </c>
      <c r="M29">
        <f>_xlfn.XLOOKUP(L29,'Order Page'!X$27:X$393,'Order Page'!T$27:T$393,0)</f>
        <v>0</v>
      </c>
      <c r="N29">
        <f>_xlfn.XLOOKUP(L29,'Order Page'!X$27:X$393,'Order Page'!R$27:R$393,0)</f>
        <v>0</v>
      </c>
      <c r="O29" t="str">
        <f t="shared" si="14"/>
        <v/>
      </c>
      <c r="P29" t="str">
        <f t="shared" si="0"/>
        <v/>
      </c>
      <c r="Q29" s="263"/>
      <c r="R29">
        <v>26</v>
      </c>
      <c r="S29">
        <f t="shared" si="15"/>
        <v>1</v>
      </c>
      <c r="T29">
        <f t="shared" si="16"/>
        <v>0</v>
      </c>
      <c r="U29">
        <f>_xlfn.XLOOKUP(T29,'Order Page'!X$27:X$393,'Order Page'!U$27:U$393,"")</f>
        <v>0</v>
      </c>
      <c r="W29" t="str">
        <f t="shared" si="1"/>
        <v/>
      </c>
      <c r="X29" t="str">
        <f t="shared" si="2"/>
        <v/>
      </c>
      <c r="Y29" t="str">
        <f>_xlfn.XLOOKUP(T29,'Order Page'!X$27:X$393,'Order Page'!C$27:C$393,"")</f>
        <v>Acorus Calamus</v>
      </c>
      <c r="Z29" s="264"/>
      <c r="AA29">
        <v>26</v>
      </c>
      <c r="AB29" cm="1">
        <f t="array" ref="AB29">VLOOKUP(ROW(26:26),S$4:T$153,2)</f>
        <v>0</v>
      </c>
      <c r="AD29" t="str">
        <f t="shared" si="3"/>
        <v/>
      </c>
      <c r="AE29" t="e">
        <f t="shared" si="25"/>
        <v>#N/A</v>
      </c>
      <c r="AF29" t="str">
        <f t="shared" si="4"/>
        <v/>
      </c>
      <c r="AG29" t="str">
        <f>_xlfn.XLOOKUP(AB29,'Order Page'!X$27:X$393,'Order Page'!C$27:C$393,"")</f>
        <v>Acorus Calamus</v>
      </c>
      <c r="AH29">
        <f t="shared" si="26"/>
        <v>0</v>
      </c>
      <c r="AI29">
        <f t="shared" si="5"/>
        <v>0</v>
      </c>
      <c r="AJ29">
        <f t="shared" si="27"/>
        <v>0</v>
      </c>
      <c r="AK29">
        <f>IF(AJ29&lt;AH29+0.001,ROUNDUP(AJ29,0),0)</f>
        <v>0</v>
      </c>
      <c r="AL29">
        <f>IF(OR(AD28&amp;AF28&lt;&gt;AD29&amp;AF29,AK29&lt;AK28),AK28,0)+MAX(AL$4:AL28)</f>
        <v>0</v>
      </c>
      <c r="AM29">
        <f t="shared" si="18"/>
        <v>0</v>
      </c>
      <c r="AO29" s="25" t="str">
        <f t="shared" si="19"/>
        <v/>
      </c>
      <c r="AP29" s="25" t="str">
        <f t="shared" si="6"/>
        <v/>
      </c>
      <c r="AQ29" t="str">
        <f t="shared" si="20"/>
        <v/>
      </c>
      <c r="AR29" t="str">
        <f t="shared" si="7"/>
        <v/>
      </c>
      <c r="AS29">
        <f t="shared" si="8"/>
        <v>0</v>
      </c>
      <c r="AT29">
        <f t="shared" si="21"/>
        <v>0</v>
      </c>
      <c r="AU29" t="str">
        <f>_xlfn.XLOOKUP(AB29,'Order Page'!X$24:X$378,'Order Page'!B$24:B$378,0)</f>
        <v>x6</v>
      </c>
      <c r="AV29">
        <f>_xlfn.XLOOKUP(AB29,'Order Page'!X$24:X$378,'Order Page'!O$24:O$378,0)</f>
        <v>38</v>
      </c>
      <c r="AW29" s="264"/>
      <c r="AX29">
        <v>8</v>
      </c>
      <c r="AY29" t="e">
        <f t="shared" si="32"/>
        <v>#N/A</v>
      </c>
      <c r="AZ29" t="e">
        <f t="shared" si="33"/>
        <v>#N/A</v>
      </c>
      <c r="BA29" t="e">
        <f t="shared" si="34"/>
        <v>#N/A</v>
      </c>
      <c r="BB29" t="e">
        <f t="shared" si="35"/>
        <v>#N/A</v>
      </c>
      <c r="BC29" s="325" t="e">
        <f>IF(AND(BB$18&lt;1,AZ29&lt;=BC$18),IF(BB$18+BB29+SUMIF(BC$21:BC28,BD$18,BB$21:BB28)&lt;=1,BD$18,0))</f>
        <v>#N/A</v>
      </c>
      <c r="BD29" t="e">
        <f t="shared" si="39"/>
        <v>#N/A</v>
      </c>
      <c r="BE29" s="325" t="e">
        <f>IF(AND(BB$19&lt;1,AZ29&lt;=BC$19),IF(BB$19+BD29+SUMIF(BE$21:BE28,BD$19,BD$21:BD28)&lt;=1,BD$19,0))</f>
        <v>#N/A</v>
      </c>
      <c r="BF29" t="e">
        <f t="shared" si="40"/>
        <v>#N/A</v>
      </c>
      <c r="BG29">
        <f t="shared" si="36"/>
        <v>0</v>
      </c>
      <c r="BH29">
        <f t="shared" si="37"/>
        <v>0</v>
      </c>
      <c r="BI29">
        <f t="shared" si="43"/>
        <v>0</v>
      </c>
      <c r="BJ29" t="e">
        <f t="shared" si="41"/>
        <v>#N/A</v>
      </c>
      <c r="BK29" t="e">
        <f>IF(BJ29=0,BK28,IF(ROUNDDOWN(SUM(BJ$22:BJ29),0)=ROUNDDOWN(SUM(BJ$22:BJ28),0),BK28+BJ29,ROUNDDOWN(SUM(BJ$22:BJ29),0)+BJ29))</f>
        <v>#N/A</v>
      </c>
      <c r="BL29" t="e">
        <f t="shared" si="44"/>
        <v>#N/A</v>
      </c>
      <c r="BM29" t="e">
        <f t="shared" si="38"/>
        <v>#N/A</v>
      </c>
      <c r="BN29" t="e">
        <f t="shared" si="42"/>
        <v>#N/A</v>
      </c>
    </row>
    <row r="30" spans="1:66" x14ac:dyDescent="0.25">
      <c r="A30" t="s">
        <v>608</v>
      </c>
      <c r="B30" t="s">
        <v>655</v>
      </c>
      <c r="C30">
        <f>'Order Page'!R206</f>
        <v>40</v>
      </c>
      <c r="D30" s="261">
        <v>0.25</v>
      </c>
      <c r="E30" t="s">
        <v>657</v>
      </c>
      <c r="F30">
        <f>'Order Page'!U206+'Order Page'!U207</f>
        <v>0</v>
      </c>
      <c r="G30" s="262">
        <f>F30/4</f>
        <v>0</v>
      </c>
      <c r="H30">
        <f t="shared" si="24"/>
        <v>0</v>
      </c>
      <c r="I30">
        <f>IF(H30&gt;0,MAX(I$5:I29)+1,0)</f>
        <v>0</v>
      </c>
      <c r="J30">
        <v>18</v>
      </c>
      <c r="K30" t="s">
        <v>168</v>
      </c>
      <c r="L30">
        <v>27</v>
      </c>
      <c r="M30">
        <f>_xlfn.XLOOKUP(L30,'Order Page'!X$27:X$393,'Order Page'!T$27:T$393,0)</f>
        <v>0</v>
      </c>
      <c r="N30">
        <f>_xlfn.XLOOKUP(L30,'Order Page'!X$27:X$393,'Order Page'!R$27:R$393,0)</f>
        <v>0</v>
      </c>
      <c r="O30" t="str">
        <f t="shared" si="14"/>
        <v/>
      </c>
      <c r="P30" t="str">
        <f t="shared" si="0"/>
        <v/>
      </c>
      <c r="Q30" s="263"/>
      <c r="R30">
        <v>27</v>
      </c>
      <c r="S30">
        <f t="shared" si="15"/>
        <v>1</v>
      </c>
      <c r="T30">
        <f t="shared" si="16"/>
        <v>0</v>
      </c>
      <c r="U30">
        <f>_xlfn.XLOOKUP(T30,'Order Page'!X$27:X$393,'Order Page'!U$27:U$393,"")</f>
        <v>0</v>
      </c>
      <c r="W30" t="str">
        <f t="shared" si="1"/>
        <v/>
      </c>
      <c r="X30" t="str">
        <f t="shared" si="2"/>
        <v/>
      </c>
      <c r="Y30" t="str">
        <f>_xlfn.XLOOKUP(T30,'Order Page'!X$27:X$393,'Order Page'!C$27:C$393,"")</f>
        <v>Acorus Calamus</v>
      </c>
      <c r="Z30" s="264"/>
      <c r="AA30">
        <v>27</v>
      </c>
      <c r="AB30" cm="1">
        <f t="array" ref="AB30">VLOOKUP(ROW(27:27),S$4:T$153,2)</f>
        <v>0</v>
      </c>
      <c r="AD30" t="str">
        <f t="shared" si="3"/>
        <v/>
      </c>
      <c r="AE30" t="e">
        <f t="shared" si="25"/>
        <v>#N/A</v>
      </c>
      <c r="AF30" t="str">
        <f t="shared" si="4"/>
        <v/>
      </c>
      <c r="AG30" t="str">
        <f>_xlfn.XLOOKUP(AB30,'Order Page'!X$27:X$393,'Order Page'!C$27:C$393,"")</f>
        <v>Acorus Calamus</v>
      </c>
      <c r="AH30">
        <f t="shared" si="26"/>
        <v>0</v>
      </c>
      <c r="AI30">
        <f t="shared" si="5"/>
        <v>0</v>
      </c>
      <c r="AJ30">
        <f t="shared" si="27"/>
        <v>0</v>
      </c>
      <c r="AK30">
        <f t="shared" si="17"/>
        <v>0</v>
      </c>
      <c r="AL30">
        <f>IF(OR(AD29&amp;AF29&lt;&gt;AD30&amp;AF30,AK30&lt;AK29),AK29,0)+MAX(AL$4:AL29)</f>
        <v>0</v>
      </c>
      <c r="AM30">
        <f t="shared" si="18"/>
        <v>0</v>
      </c>
      <c r="AO30" s="25" t="str">
        <f t="shared" si="19"/>
        <v/>
      </c>
      <c r="AP30" s="25" t="str">
        <f t="shared" si="6"/>
        <v/>
      </c>
      <c r="AQ30" t="str">
        <f t="shared" si="20"/>
        <v/>
      </c>
      <c r="AR30" t="str">
        <f t="shared" si="7"/>
        <v/>
      </c>
      <c r="AS30">
        <f t="shared" si="8"/>
        <v>0</v>
      </c>
      <c r="AT30">
        <f t="shared" si="21"/>
        <v>0</v>
      </c>
      <c r="AU30" t="str">
        <f>_xlfn.XLOOKUP(AB30,'Order Page'!X$24:X$378,'Order Page'!B$24:B$378,0)</f>
        <v>x6</v>
      </c>
      <c r="AV30">
        <f>_xlfn.XLOOKUP(AB30,'Order Page'!X$24:X$378,'Order Page'!O$24:O$378,0)</f>
        <v>38</v>
      </c>
      <c r="AW30" s="264"/>
      <c r="AX30">
        <v>9</v>
      </c>
      <c r="AY30" t="e">
        <f t="shared" si="32"/>
        <v>#N/A</v>
      </c>
      <c r="AZ30" t="e">
        <f t="shared" si="33"/>
        <v>#N/A</v>
      </c>
      <c r="BA30" t="e">
        <f t="shared" si="34"/>
        <v>#N/A</v>
      </c>
      <c r="BB30" t="e">
        <f t="shared" si="35"/>
        <v>#N/A</v>
      </c>
      <c r="BC30" s="325" t="e">
        <f>IF(AND(BB$18&lt;1,AZ30&lt;=BC$18),IF(BB$18+BB30+SUMIF(BC$21:BC29,BD$18,BB$21:BB29)&lt;=1,BD$18,0))</f>
        <v>#N/A</v>
      </c>
      <c r="BD30" t="e">
        <f t="shared" si="39"/>
        <v>#N/A</v>
      </c>
      <c r="BE30" s="325" t="e">
        <f>IF(AND(BB$19&lt;1,AZ30&lt;=BC$19),IF(BB$19+BD30+SUMIF(BE$21:BE29,BD$19,BD$21:BD29)&lt;=1,BD$19,0))</f>
        <v>#N/A</v>
      </c>
      <c r="BF30" t="e">
        <f t="shared" si="40"/>
        <v>#N/A</v>
      </c>
      <c r="BG30">
        <f t="shared" si="36"/>
        <v>0</v>
      </c>
      <c r="BH30">
        <f t="shared" si="37"/>
        <v>0</v>
      </c>
      <c r="BI30">
        <f t="shared" si="43"/>
        <v>0</v>
      </c>
      <c r="BJ30" t="e">
        <f t="shared" si="41"/>
        <v>#N/A</v>
      </c>
      <c r="BK30" t="e">
        <f>IF(BJ30=0,BK29,IF(ROUNDDOWN(SUM(BJ$22:BJ30),0)=ROUNDDOWN(SUM(BJ$22:BJ29),0),BK29+BJ30,ROUNDDOWN(SUM(BJ$22:BJ30),0)+BJ30))</f>
        <v>#N/A</v>
      </c>
      <c r="BL30" t="e">
        <f t="shared" si="44"/>
        <v>#N/A</v>
      </c>
      <c r="BM30" t="e">
        <f t="shared" si="38"/>
        <v>#N/A</v>
      </c>
      <c r="BN30" t="e">
        <f t="shared" si="42"/>
        <v>#N/A</v>
      </c>
    </row>
    <row r="31" spans="1:66" x14ac:dyDescent="0.25">
      <c r="A31" t="s">
        <v>609</v>
      </c>
      <c r="B31" t="s">
        <v>656</v>
      </c>
      <c r="C31">
        <f>'Order Page'!R207</f>
        <v>40</v>
      </c>
      <c r="D31" s="261">
        <v>0.33</v>
      </c>
      <c r="E31" t="s">
        <v>658</v>
      </c>
      <c r="F31">
        <f>'Order Page'!U208+'Order Page'!U209</f>
        <v>0</v>
      </c>
      <c r="G31" s="262">
        <f>F31/3</f>
        <v>0</v>
      </c>
      <c r="H31">
        <f t="shared" si="24"/>
        <v>0</v>
      </c>
      <c r="I31">
        <f>IF(H31&gt;0,MAX(I$5:I30)+1,0)</f>
        <v>0</v>
      </c>
      <c r="J31">
        <v>21</v>
      </c>
      <c r="K31" t="s">
        <v>168</v>
      </c>
      <c r="L31">
        <v>28</v>
      </c>
      <c r="M31">
        <f>_xlfn.XLOOKUP(L31,'Order Page'!X$27:X$393,'Order Page'!T$27:T$393,0)</f>
        <v>0</v>
      </c>
      <c r="N31">
        <f>_xlfn.XLOOKUP(L31,'Order Page'!X$27:X$393,'Order Page'!R$27:R$393,0)</f>
        <v>0</v>
      </c>
      <c r="O31" t="str">
        <f t="shared" si="14"/>
        <v/>
      </c>
      <c r="P31" t="str">
        <f t="shared" si="0"/>
        <v/>
      </c>
      <c r="Q31" s="263"/>
      <c r="R31">
        <v>28</v>
      </c>
      <c r="S31">
        <f t="shared" si="15"/>
        <v>1</v>
      </c>
      <c r="T31">
        <f t="shared" si="16"/>
        <v>0</v>
      </c>
      <c r="U31">
        <f>_xlfn.XLOOKUP(T31,'Order Page'!X$27:X$393,'Order Page'!U$27:U$393,"")</f>
        <v>0</v>
      </c>
      <c r="W31" t="str">
        <f t="shared" si="1"/>
        <v/>
      </c>
      <c r="X31" t="str">
        <f t="shared" si="2"/>
        <v/>
      </c>
      <c r="Y31" t="str">
        <f>_xlfn.XLOOKUP(T31,'Order Page'!X$27:X$393,'Order Page'!C$27:C$393,"")</f>
        <v>Acorus Calamus</v>
      </c>
      <c r="Z31" s="264"/>
      <c r="AA31">
        <v>28</v>
      </c>
      <c r="AB31" cm="1">
        <f t="array" ref="AB31">VLOOKUP(ROW(28:28),S$4:T$153,2)</f>
        <v>0</v>
      </c>
      <c r="AD31" t="str">
        <f t="shared" si="3"/>
        <v/>
      </c>
      <c r="AE31" t="e">
        <f t="shared" si="25"/>
        <v>#N/A</v>
      </c>
      <c r="AF31" t="str">
        <f t="shared" si="4"/>
        <v/>
      </c>
      <c r="AG31" t="str">
        <f>_xlfn.XLOOKUP(AB31,'Order Page'!X$27:X$393,'Order Page'!C$27:C$393,"")</f>
        <v>Acorus Calamus</v>
      </c>
      <c r="AH31">
        <f t="shared" si="26"/>
        <v>0</v>
      </c>
      <c r="AI31">
        <f t="shared" si="5"/>
        <v>0</v>
      </c>
      <c r="AJ31">
        <f t="shared" si="27"/>
        <v>0</v>
      </c>
      <c r="AK31">
        <f t="shared" si="17"/>
        <v>0</v>
      </c>
      <c r="AL31">
        <f>IF(OR(AD30&amp;AF30&lt;&gt;AD31&amp;AF31,AK31&lt;AK30),AK30,0)+MAX(AL$4:AL30)</f>
        <v>0</v>
      </c>
      <c r="AM31">
        <f t="shared" si="18"/>
        <v>0</v>
      </c>
      <c r="AO31" s="25" t="str">
        <f t="shared" si="19"/>
        <v/>
      </c>
      <c r="AP31" s="25" t="str">
        <f t="shared" si="6"/>
        <v/>
      </c>
      <c r="AQ31" t="str">
        <f t="shared" si="20"/>
        <v/>
      </c>
      <c r="AR31" t="str">
        <f t="shared" si="7"/>
        <v/>
      </c>
      <c r="AS31">
        <f t="shared" si="8"/>
        <v>0</v>
      </c>
      <c r="AT31">
        <f t="shared" si="21"/>
        <v>0</v>
      </c>
      <c r="AU31" t="str">
        <f>_xlfn.XLOOKUP(AB31,'Order Page'!X$24:X$378,'Order Page'!B$24:B$378,0)</f>
        <v>x6</v>
      </c>
      <c r="AV31">
        <f>_xlfn.XLOOKUP(AB31,'Order Page'!X$24:X$378,'Order Page'!O$24:O$378,0)</f>
        <v>38</v>
      </c>
      <c r="AW31" s="264"/>
      <c r="AX31">
        <v>10</v>
      </c>
      <c r="AY31" t="e">
        <f t="shared" si="32"/>
        <v>#N/A</v>
      </c>
      <c r="AZ31" t="e">
        <f t="shared" si="33"/>
        <v>#N/A</v>
      </c>
      <c r="BA31" t="e">
        <f t="shared" si="34"/>
        <v>#N/A</v>
      </c>
      <c r="BB31" t="e">
        <f t="shared" si="35"/>
        <v>#N/A</v>
      </c>
      <c r="BC31" t="e">
        <f>IF(AND(BB$18&lt;1,AZ31&lt;=BC$18),IF(BB$18+BB31+SUMIF(BC$21:BC30,BD$18,BB$21:BB30)&lt;=1,BD$18,0))</f>
        <v>#N/A</v>
      </c>
      <c r="BD31" t="e">
        <f t="shared" si="39"/>
        <v>#N/A</v>
      </c>
      <c r="BE31" t="e">
        <f>IF(AND(BB$19&lt;1,AZ31&lt;=BC$19),IF(BB$19+BD31+SUMIF(BE$21:BE30,BD$19,BD$21:BD30)&lt;=1,BD$19,0))</f>
        <v>#N/A</v>
      </c>
      <c r="BF31" t="e">
        <f t="shared" si="40"/>
        <v>#N/A</v>
      </c>
      <c r="BG31">
        <f t="shared" si="36"/>
        <v>0</v>
      </c>
      <c r="BH31">
        <f t="shared" si="37"/>
        <v>0</v>
      </c>
      <c r="BI31">
        <f t="shared" si="43"/>
        <v>0</v>
      </c>
      <c r="BJ31" t="e">
        <f t="shared" si="41"/>
        <v>#N/A</v>
      </c>
      <c r="BK31" t="e">
        <f>IF(BJ31=0,BK30,IF(ROUNDDOWN(SUM(BJ$22:BJ31),0)=ROUNDDOWN(SUM(BJ$22:BJ30),0),BK30+BJ31,ROUNDDOWN(SUM(BJ$22:BJ31),0)+BJ31))</f>
        <v>#N/A</v>
      </c>
      <c r="BL31" t="e">
        <f t="shared" si="44"/>
        <v>#N/A</v>
      </c>
      <c r="BM31" t="e">
        <f t="shared" si="38"/>
        <v>#N/A</v>
      </c>
      <c r="BN31" t="e">
        <f t="shared" si="42"/>
        <v>#N/A</v>
      </c>
    </row>
    <row r="32" spans="1:66" x14ac:dyDescent="0.25">
      <c r="B32" t="s">
        <v>615</v>
      </c>
      <c r="C32">
        <v>25</v>
      </c>
      <c r="D32" s="261">
        <v>0.2</v>
      </c>
      <c r="E32" t="s">
        <v>646</v>
      </c>
      <c r="F32">
        <f>'Order Page'!U309+'Order Page'!U322+'Order Page'!U328</f>
        <v>0</v>
      </c>
      <c r="G32" s="262">
        <f>F32/5</f>
        <v>0</v>
      </c>
      <c r="H32">
        <f t="shared" si="24"/>
        <v>0</v>
      </c>
      <c r="I32">
        <f>IF(H32&gt;0,MAX(I$5:I31)+1,0)</f>
        <v>0</v>
      </c>
      <c r="J32">
        <v>4</v>
      </c>
      <c r="L32">
        <v>29</v>
      </c>
      <c r="M32">
        <f>_xlfn.XLOOKUP(L32,'Order Page'!X$27:X$393,'Order Page'!T$27:T$393,0)</f>
        <v>0</v>
      </c>
      <c r="N32">
        <f>_xlfn.XLOOKUP(L32,'Order Page'!X$27:X$393,'Order Page'!R$27:R$393,0)</f>
        <v>0</v>
      </c>
      <c r="O32" t="str">
        <f t="shared" si="14"/>
        <v/>
      </c>
      <c r="P32" t="str">
        <f t="shared" si="0"/>
        <v/>
      </c>
      <c r="Q32" s="263"/>
      <c r="R32">
        <v>29</v>
      </c>
      <c r="S32">
        <f t="shared" si="15"/>
        <v>1</v>
      </c>
      <c r="T32">
        <f t="shared" si="16"/>
        <v>0</v>
      </c>
      <c r="U32">
        <f>_xlfn.XLOOKUP(T32,'Order Page'!X$27:X$393,'Order Page'!U$27:U$393,"")</f>
        <v>0</v>
      </c>
      <c r="W32" t="str">
        <f t="shared" si="1"/>
        <v/>
      </c>
      <c r="X32" t="str">
        <f t="shared" si="2"/>
        <v/>
      </c>
      <c r="Y32" t="str">
        <f>_xlfn.XLOOKUP(T32,'Order Page'!X$27:X$393,'Order Page'!C$27:C$393,"")</f>
        <v>Acorus Calamus</v>
      </c>
      <c r="Z32" s="264"/>
      <c r="AA32">
        <v>29</v>
      </c>
      <c r="AB32" cm="1">
        <f t="array" ref="AB32">VLOOKUP(ROW(29:29),S$4:T$153,2)</f>
        <v>0</v>
      </c>
      <c r="AD32" t="str">
        <f t="shared" si="3"/>
        <v/>
      </c>
      <c r="AE32" t="e">
        <f t="shared" si="25"/>
        <v>#N/A</v>
      </c>
      <c r="AF32" t="str">
        <f t="shared" si="4"/>
        <v/>
      </c>
      <c r="AG32" t="str">
        <f>_xlfn.XLOOKUP(AB32,'Order Page'!X$27:X$393,'Order Page'!C$27:C$393,"")</f>
        <v>Acorus Calamus</v>
      </c>
      <c r="AH32">
        <f t="shared" si="26"/>
        <v>0</v>
      </c>
      <c r="AI32">
        <f t="shared" si="5"/>
        <v>0</v>
      </c>
      <c r="AJ32">
        <f t="shared" si="27"/>
        <v>0</v>
      </c>
      <c r="AK32">
        <f t="shared" si="17"/>
        <v>0</v>
      </c>
      <c r="AL32">
        <f>IF(OR(AD31&amp;AF31&lt;&gt;AD32&amp;AF32,AK32&lt;AK31),AK31,0)+MAX(AL$4:AL31)</f>
        <v>0</v>
      </c>
      <c r="AM32">
        <f t="shared" si="18"/>
        <v>0</v>
      </c>
      <c r="AO32" s="25" t="str">
        <f t="shared" si="19"/>
        <v/>
      </c>
      <c r="AP32" s="25" t="str">
        <f t="shared" si="6"/>
        <v/>
      </c>
      <c r="AQ32" t="str">
        <f t="shared" si="20"/>
        <v/>
      </c>
      <c r="AR32" t="str">
        <f t="shared" si="7"/>
        <v/>
      </c>
      <c r="AS32">
        <f t="shared" si="8"/>
        <v>0</v>
      </c>
      <c r="AT32">
        <f t="shared" si="21"/>
        <v>0</v>
      </c>
      <c r="AU32" t="str">
        <f>_xlfn.XLOOKUP(AB32,'Order Page'!X$24:X$378,'Order Page'!B$24:B$378,0)</f>
        <v>x6</v>
      </c>
      <c r="AV32">
        <f>_xlfn.XLOOKUP(AB32,'Order Page'!X$24:X$378,'Order Page'!O$24:O$378,0)</f>
        <v>38</v>
      </c>
      <c r="AW32" s="264"/>
      <c r="AX32">
        <v>11</v>
      </c>
      <c r="AY32" t="e">
        <f t="shared" si="32"/>
        <v>#N/A</v>
      </c>
      <c r="AZ32" t="e">
        <f t="shared" si="33"/>
        <v>#N/A</v>
      </c>
      <c r="BA32" t="e">
        <f t="shared" si="34"/>
        <v>#N/A</v>
      </c>
      <c r="BB32" t="e">
        <f t="shared" si="35"/>
        <v>#N/A</v>
      </c>
      <c r="BC32" t="e">
        <f>IF(AND(BB$18&lt;1,AZ32&lt;=BC$18),IF(BB$18+BB32+SUMIF(BC$21:BC31,BD$18,BB$21:BB31)&lt;=1,BD$18,0))</f>
        <v>#N/A</v>
      </c>
      <c r="BD32" t="e">
        <f t="shared" si="39"/>
        <v>#N/A</v>
      </c>
      <c r="BE32" t="e">
        <f>IF(AND(BB$19&lt;1,AZ32&lt;=BC$19),IF(BB$19+BD32+SUMIF(BE$21:BE31,BD$19,BD$21:BD31)&lt;=1,BD$19,0))</f>
        <v>#N/A</v>
      </c>
      <c r="BF32" t="e">
        <f t="shared" si="40"/>
        <v>#N/A</v>
      </c>
      <c r="BG32">
        <f t="shared" si="36"/>
        <v>0</v>
      </c>
      <c r="BH32">
        <f t="shared" si="37"/>
        <v>0</v>
      </c>
      <c r="BI32">
        <f t="shared" si="43"/>
        <v>0</v>
      </c>
      <c r="BJ32" t="e">
        <f t="shared" si="41"/>
        <v>#N/A</v>
      </c>
      <c r="BK32" t="e">
        <f>IF(BJ32=0,BK31,IF(ROUNDDOWN(SUM(BJ$22:BJ32),0)=ROUNDDOWN(SUM(BJ$22:BJ31),0),BK31+BJ32,ROUNDDOWN(SUM(BJ$22:BJ32),0)+BJ32))</f>
        <v>#N/A</v>
      </c>
      <c r="BL32" t="e">
        <f t="shared" si="44"/>
        <v>#N/A</v>
      </c>
      <c r="BM32" t="e">
        <f t="shared" si="38"/>
        <v>#N/A</v>
      </c>
      <c r="BN32" t="e">
        <f t="shared" si="42"/>
        <v>#N/A</v>
      </c>
    </row>
    <row r="33" spans="2:66" x14ac:dyDescent="0.25">
      <c r="B33" t="s">
        <v>604</v>
      </c>
      <c r="C33">
        <v>30</v>
      </c>
      <c r="D33">
        <v>0.16600000000000001</v>
      </c>
      <c r="E33" t="s">
        <v>647</v>
      </c>
      <c r="F33">
        <f>'Order Page'!U257+'Order Page'!U268+'Order Page'!U279+'Order Page'!U291+'Order Page'!U302</f>
        <v>0</v>
      </c>
      <c r="G33" s="262">
        <f>F33/6</f>
        <v>0</v>
      </c>
      <c r="H33">
        <f t="shared" si="24"/>
        <v>0</v>
      </c>
      <c r="I33">
        <f>IF(H33&gt;0,MAX(I$5:I32)+1,0)</f>
        <v>0</v>
      </c>
      <c r="J33">
        <v>8</v>
      </c>
      <c r="L33">
        <v>30</v>
      </c>
      <c r="M33">
        <f>_xlfn.XLOOKUP(L33,'Order Page'!X$27:X$393,'Order Page'!T$27:T$393,0)</f>
        <v>0</v>
      </c>
      <c r="N33">
        <f>_xlfn.XLOOKUP(L33,'Order Page'!X$27:X$393,'Order Page'!R$27:R$393,0)</f>
        <v>0</v>
      </c>
      <c r="O33" t="str">
        <f t="shared" si="14"/>
        <v/>
      </c>
      <c r="P33" t="str">
        <f t="shared" si="0"/>
        <v/>
      </c>
      <c r="Q33" s="263"/>
      <c r="R33">
        <v>30</v>
      </c>
      <c r="S33">
        <f t="shared" si="15"/>
        <v>1</v>
      </c>
      <c r="T33">
        <f t="shared" si="16"/>
        <v>0</v>
      </c>
      <c r="U33">
        <f>_xlfn.XLOOKUP(T33,'Order Page'!X$27:X$393,'Order Page'!U$27:U$393,"")</f>
        <v>0</v>
      </c>
      <c r="W33" t="str">
        <f t="shared" si="1"/>
        <v/>
      </c>
      <c r="X33" t="str">
        <f t="shared" si="2"/>
        <v/>
      </c>
      <c r="Y33" t="str">
        <f>_xlfn.XLOOKUP(T33,'Order Page'!X$27:X$393,'Order Page'!C$27:C$393,"")</f>
        <v>Acorus Calamus</v>
      </c>
      <c r="Z33" s="264"/>
      <c r="AA33">
        <v>30</v>
      </c>
      <c r="AB33" cm="1">
        <f t="array" ref="AB33">VLOOKUP(ROW(30:30),S$4:T$153,2)</f>
        <v>0</v>
      </c>
      <c r="AD33" t="str">
        <f t="shared" si="3"/>
        <v/>
      </c>
      <c r="AE33" t="e">
        <f t="shared" si="25"/>
        <v>#N/A</v>
      </c>
      <c r="AF33" t="str">
        <f t="shared" si="4"/>
        <v/>
      </c>
      <c r="AG33" t="str">
        <f>_xlfn.XLOOKUP(AB33,'Order Page'!X$27:X$393,'Order Page'!C$27:C$393,"")</f>
        <v>Acorus Calamus</v>
      </c>
      <c r="AH33">
        <f t="shared" si="26"/>
        <v>0</v>
      </c>
      <c r="AI33">
        <f t="shared" si="5"/>
        <v>0</v>
      </c>
      <c r="AJ33">
        <f t="shared" si="27"/>
        <v>0</v>
      </c>
      <c r="AK33">
        <f t="shared" si="17"/>
        <v>0</v>
      </c>
      <c r="AL33">
        <f>IF(OR(AD32&amp;AF32&lt;&gt;AD33&amp;AF33,AK33&lt;AK32),AK32,0)+MAX(AL$4:AL32)</f>
        <v>0</v>
      </c>
      <c r="AM33">
        <f t="shared" si="18"/>
        <v>0</v>
      </c>
      <c r="AO33" s="25" t="str">
        <f t="shared" si="19"/>
        <v/>
      </c>
      <c r="AP33" s="25" t="str">
        <f t="shared" si="6"/>
        <v/>
      </c>
      <c r="AQ33" t="str">
        <f t="shared" si="20"/>
        <v/>
      </c>
      <c r="AR33" t="str">
        <f t="shared" si="7"/>
        <v/>
      </c>
      <c r="AS33">
        <f t="shared" si="8"/>
        <v>0</v>
      </c>
      <c r="AT33">
        <f t="shared" si="21"/>
        <v>0</v>
      </c>
      <c r="AU33" t="str">
        <f>_xlfn.XLOOKUP(AB33,'Order Page'!X$24:X$378,'Order Page'!B$24:B$378,0)</f>
        <v>x6</v>
      </c>
      <c r="AV33">
        <f>_xlfn.XLOOKUP(AB33,'Order Page'!X$24:X$378,'Order Page'!O$24:O$378,0)</f>
        <v>38</v>
      </c>
      <c r="AW33" s="264"/>
      <c r="AX33">
        <v>12</v>
      </c>
      <c r="AY33" t="e">
        <f t="shared" si="32"/>
        <v>#N/A</v>
      </c>
      <c r="AZ33" t="e">
        <f t="shared" si="33"/>
        <v>#N/A</v>
      </c>
      <c r="BA33" t="e">
        <f t="shared" si="34"/>
        <v>#N/A</v>
      </c>
      <c r="BB33" t="e">
        <f t="shared" si="35"/>
        <v>#N/A</v>
      </c>
      <c r="BC33" t="e">
        <f>IF(AND(BB$18&lt;1,AZ33&lt;=BC$18),IF(BB$18+BB33+SUMIF(BC$21:BC32,BD$18,BB$21:BB32)&lt;=1,BD$18,0))</f>
        <v>#N/A</v>
      </c>
      <c r="BD33" t="e">
        <f t="shared" si="39"/>
        <v>#N/A</v>
      </c>
      <c r="BE33" t="e">
        <f>IF(AND(BB$19&lt;1,AZ33&lt;=BC$19),IF(BB$19+BD33+SUMIF(BE$21:BE32,BD$19,BD$21:BD32)&lt;=1,BD$19,0))</f>
        <v>#N/A</v>
      </c>
      <c r="BF33" t="e">
        <f t="shared" si="40"/>
        <v>#N/A</v>
      </c>
      <c r="BG33">
        <f t="shared" si="36"/>
        <v>0</v>
      </c>
      <c r="BH33">
        <f t="shared" si="37"/>
        <v>0</v>
      </c>
      <c r="BI33">
        <f t="shared" si="43"/>
        <v>0</v>
      </c>
      <c r="BJ33" t="e">
        <f t="shared" si="41"/>
        <v>#N/A</v>
      </c>
      <c r="BK33" t="e">
        <f>IF(BJ33=0,BK32,IF(ROUNDDOWN(SUM(BJ$22:BJ33),0)=ROUNDDOWN(SUM(BJ$22:BJ32),0),BK32+BJ33,ROUNDDOWN(SUM(BJ$22:BJ33),0)+BJ33))</f>
        <v>#N/A</v>
      </c>
      <c r="BL33" t="e">
        <f t="shared" si="44"/>
        <v>#N/A</v>
      </c>
      <c r="BM33" t="e">
        <f t="shared" si="38"/>
        <v>#N/A</v>
      </c>
      <c r="BN33" t="e">
        <f t="shared" si="42"/>
        <v>#N/A</v>
      </c>
    </row>
    <row r="34" spans="2:66" x14ac:dyDescent="0.25">
      <c r="D34" s="261"/>
      <c r="G34" s="262"/>
      <c r="L34">
        <v>31</v>
      </c>
      <c r="M34">
        <f>_xlfn.XLOOKUP(L34,'Order Page'!X$27:X$393,'Order Page'!T$27:T$393,0)</f>
        <v>0</v>
      </c>
      <c r="N34">
        <f>_xlfn.XLOOKUP(L34,'Order Page'!X$27:X$393,'Order Page'!R$27:R$393,0)</f>
        <v>0</v>
      </c>
      <c r="O34" t="str">
        <f t="shared" si="14"/>
        <v/>
      </c>
      <c r="P34" t="str">
        <f t="shared" si="0"/>
        <v/>
      </c>
      <c r="Q34" s="263"/>
      <c r="R34">
        <v>31</v>
      </c>
      <c r="S34">
        <f t="shared" si="15"/>
        <v>1</v>
      </c>
      <c r="T34">
        <f t="shared" si="16"/>
        <v>0</v>
      </c>
      <c r="U34">
        <f>_xlfn.XLOOKUP(T34,'Order Page'!X$27:X$393,'Order Page'!U$27:U$393,"")</f>
        <v>0</v>
      </c>
      <c r="W34" t="str">
        <f t="shared" si="1"/>
        <v/>
      </c>
      <c r="X34" t="str">
        <f t="shared" si="2"/>
        <v/>
      </c>
      <c r="Y34" t="str">
        <f>_xlfn.XLOOKUP(T34,'Order Page'!X$27:X$393,'Order Page'!C$27:C$393,"")</f>
        <v>Acorus Calamus</v>
      </c>
      <c r="Z34" s="264"/>
      <c r="AA34">
        <v>31</v>
      </c>
      <c r="AB34" cm="1">
        <f t="array" ref="AB34">VLOOKUP(ROW(31:31),S$4:T$153,2)</f>
        <v>0</v>
      </c>
      <c r="AD34" t="str">
        <f t="shared" si="3"/>
        <v/>
      </c>
      <c r="AE34" t="e">
        <f t="shared" si="25"/>
        <v>#N/A</v>
      </c>
      <c r="AF34" t="str">
        <f t="shared" si="4"/>
        <v/>
      </c>
      <c r="AG34" t="str">
        <f>_xlfn.XLOOKUP(AB34,'Order Page'!X$27:X$393,'Order Page'!C$27:C$393,"")</f>
        <v>Acorus Calamus</v>
      </c>
      <c r="AH34">
        <f t="shared" si="26"/>
        <v>0</v>
      </c>
      <c r="AI34">
        <f t="shared" si="5"/>
        <v>0</v>
      </c>
      <c r="AJ34">
        <f t="shared" si="27"/>
        <v>0</v>
      </c>
      <c r="AK34">
        <f t="shared" si="17"/>
        <v>0</v>
      </c>
      <c r="AL34">
        <f>IF(OR(AD33&amp;AF33&lt;&gt;AD34&amp;AF34,AK34&lt;AK33),AK33,0)+MAX(AL$4:AL33)</f>
        <v>0</v>
      </c>
      <c r="AM34">
        <f t="shared" si="18"/>
        <v>0</v>
      </c>
      <c r="AO34" s="25" t="str">
        <f t="shared" si="19"/>
        <v/>
      </c>
      <c r="AP34" s="25" t="str">
        <f t="shared" si="6"/>
        <v/>
      </c>
      <c r="AQ34" t="str">
        <f t="shared" si="20"/>
        <v/>
      </c>
      <c r="AR34" t="str">
        <f t="shared" si="7"/>
        <v/>
      </c>
      <c r="AS34">
        <f t="shared" si="8"/>
        <v>0</v>
      </c>
      <c r="AT34">
        <f t="shared" si="21"/>
        <v>0</v>
      </c>
      <c r="AU34" t="str">
        <f>_xlfn.XLOOKUP(AB34,'Order Page'!X$24:X$378,'Order Page'!B$24:B$378,0)</f>
        <v>x6</v>
      </c>
      <c r="AV34">
        <f>_xlfn.XLOOKUP(AB34,'Order Page'!X$24:X$378,'Order Page'!O$24:O$378,0)</f>
        <v>38</v>
      </c>
      <c r="AW34" s="264"/>
      <c r="AX34">
        <v>13</v>
      </c>
      <c r="AY34" t="e">
        <f t="shared" si="32"/>
        <v>#N/A</v>
      </c>
      <c r="AZ34" t="e">
        <f t="shared" si="33"/>
        <v>#N/A</v>
      </c>
      <c r="BA34" t="e">
        <f t="shared" si="34"/>
        <v>#N/A</v>
      </c>
      <c r="BB34" t="e">
        <f t="shared" si="35"/>
        <v>#N/A</v>
      </c>
      <c r="BC34" t="e">
        <f>IF(AND(BB$18&lt;1,AZ34&lt;=BC$18),IF(BB$18+BB34+SUMIF(BC$21:BC33,BD$18,BB$21:BB33)&lt;=1,BD$18,0))</f>
        <v>#N/A</v>
      </c>
      <c r="BD34" t="e">
        <f t="shared" si="39"/>
        <v>#N/A</v>
      </c>
      <c r="BE34" t="e">
        <f>IF(AND(BB$19&lt;1,AZ34&lt;=BC$19),IF(BB$19+BD34+SUMIF(BE$21:BE33,BD$19,BD$21:BD33)&lt;=1,BD$19,0))</f>
        <v>#N/A</v>
      </c>
      <c r="BF34" t="e">
        <f t="shared" si="40"/>
        <v>#N/A</v>
      </c>
      <c r="BG34">
        <f t="shared" si="36"/>
        <v>0</v>
      </c>
      <c r="BH34">
        <f t="shared" si="37"/>
        <v>0</v>
      </c>
      <c r="BI34">
        <f t="shared" si="43"/>
        <v>0</v>
      </c>
      <c r="BJ34" t="e">
        <f t="shared" si="41"/>
        <v>#N/A</v>
      </c>
      <c r="BK34" t="e">
        <f>IF(BJ34=0,BK33,IF(ROUNDDOWN(SUM(BJ$22:BJ34),0)=ROUNDDOWN(SUM(BJ$22:BJ33),0),BK33+BJ34,ROUNDDOWN(SUM(BJ$22:BJ34),0)+BJ34))</f>
        <v>#N/A</v>
      </c>
      <c r="BL34" t="e">
        <f t="shared" si="44"/>
        <v>#N/A</v>
      </c>
      <c r="BM34" t="e">
        <f t="shared" si="38"/>
        <v>#N/A</v>
      </c>
      <c r="BN34" t="e">
        <f t="shared" si="42"/>
        <v>#N/A</v>
      </c>
    </row>
    <row r="35" spans="2:66" x14ac:dyDescent="0.25">
      <c r="G35" s="262"/>
      <c r="L35">
        <v>32</v>
      </c>
      <c r="M35">
        <f>_xlfn.XLOOKUP(L35,'Order Page'!X$27:X$393,'Order Page'!T$27:T$393,0)</f>
        <v>0</v>
      </c>
      <c r="N35">
        <f>_xlfn.XLOOKUP(L35,'Order Page'!X$27:X$393,'Order Page'!R$27:R$393,0)</f>
        <v>0</v>
      </c>
      <c r="O35" t="str">
        <f t="shared" si="14"/>
        <v/>
      </c>
      <c r="P35" t="str">
        <f t="shared" si="0"/>
        <v/>
      </c>
      <c r="Q35" s="263"/>
      <c r="R35">
        <v>32</v>
      </c>
      <c r="S35">
        <f t="shared" si="15"/>
        <v>1</v>
      </c>
      <c r="T35">
        <f t="shared" si="16"/>
        <v>0</v>
      </c>
      <c r="U35">
        <f>_xlfn.XLOOKUP(T35,'Order Page'!X$27:X$393,'Order Page'!U$27:U$393,"")</f>
        <v>0</v>
      </c>
      <c r="W35" t="str">
        <f t="shared" si="1"/>
        <v/>
      </c>
      <c r="X35" t="str">
        <f t="shared" si="2"/>
        <v/>
      </c>
      <c r="Y35" t="str">
        <f>_xlfn.XLOOKUP(T35,'Order Page'!X$27:X$393,'Order Page'!C$27:C$393,"")</f>
        <v>Acorus Calamus</v>
      </c>
      <c r="Z35" s="264"/>
      <c r="AA35">
        <v>32</v>
      </c>
      <c r="AB35" cm="1">
        <f t="array" ref="AB35">VLOOKUP(ROW(32:32),S$4:T$153,2)</f>
        <v>0</v>
      </c>
      <c r="AD35" t="str">
        <f t="shared" si="3"/>
        <v/>
      </c>
      <c r="AE35" t="e">
        <f t="shared" si="25"/>
        <v>#N/A</v>
      </c>
      <c r="AF35" t="str">
        <f t="shared" si="4"/>
        <v/>
      </c>
      <c r="AG35" t="str">
        <f>_xlfn.XLOOKUP(AB35,'Order Page'!X$27:X$393,'Order Page'!C$27:C$393,"")</f>
        <v>Acorus Calamus</v>
      </c>
      <c r="AH35">
        <f t="shared" si="26"/>
        <v>0</v>
      </c>
      <c r="AI35">
        <f t="shared" si="5"/>
        <v>0</v>
      </c>
      <c r="AJ35">
        <f t="shared" si="27"/>
        <v>0</v>
      </c>
      <c r="AK35">
        <f t="shared" si="17"/>
        <v>0</v>
      </c>
      <c r="AL35">
        <f>IF(OR(AD34&amp;AF34&lt;&gt;AD35&amp;AF35,AK35&lt;AK34),AK34,0)+MAX(AL$4:AL34)</f>
        <v>0</v>
      </c>
      <c r="AM35">
        <f t="shared" si="18"/>
        <v>0</v>
      </c>
      <c r="AO35" s="25" t="str">
        <f t="shared" si="19"/>
        <v/>
      </c>
      <c r="AP35" s="25" t="str">
        <f t="shared" si="6"/>
        <v/>
      </c>
      <c r="AQ35" t="str">
        <f t="shared" si="20"/>
        <v/>
      </c>
      <c r="AR35" t="str">
        <f t="shared" si="7"/>
        <v/>
      </c>
      <c r="AS35">
        <f t="shared" si="8"/>
        <v>0</v>
      </c>
      <c r="AT35">
        <f t="shared" si="21"/>
        <v>0</v>
      </c>
      <c r="AU35" t="str">
        <f>_xlfn.XLOOKUP(AB35,'Order Page'!X$24:X$378,'Order Page'!B$24:B$378,0)</f>
        <v>x6</v>
      </c>
      <c r="AV35">
        <f>_xlfn.XLOOKUP(AB35,'Order Page'!X$24:X$378,'Order Page'!O$24:O$378,0)</f>
        <v>38</v>
      </c>
      <c r="AW35" s="264"/>
      <c r="AX35">
        <v>14</v>
      </c>
      <c r="AY35" t="e">
        <f t="shared" si="32"/>
        <v>#N/A</v>
      </c>
      <c r="AZ35" t="e">
        <f t="shared" si="33"/>
        <v>#N/A</v>
      </c>
      <c r="BA35" t="e">
        <f t="shared" si="34"/>
        <v>#N/A</v>
      </c>
      <c r="BB35" t="e">
        <f t="shared" si="35"/>
        <v>#N/A</v>
      </c>
      <c r="BC35" t="e">
        <f>IF(AND(BB$18&lt;1,AZ35&lt;=BC$18),IF(BB$18+BB35+SUMIF(BC$21:BC34,BD$18,BB$21:BB34)&lt;=1,BD$18,0))</f>
        <v>#N/A</v>
      </c>
      <c r="BD35" t="e">
        <f t="shared" si="39"/>
        <v>#N/A</v>
      </c>
      <c r="BE35" t="e">
        <f>IF(AND(BB$19&lt;1,AZ35&lt;=BC$19),IF(BB$19+BD35+SUMIF(BE$21:BE34,BD$19,BD$21:BD34)&lt;=1,BD$19,0))</f>
        <v>#N/A</v>
      </c>
      <c r="BF35" t="e">
        <f t="shared" si="40"/>
        <v>#N/A</v>
      </c>
      <c r="BG35">
        <f t="shared" si="36"/>
        <v>0</v>
      </c>
      <c r="BH35">
        <f t="shared" si="37"/>
        <v>0</v>
      </c>
      <c r="BI35">
        <f t="shared" si="43"/>
        <v>0</v>
      </c>
      <c r="BJ35" t="e">
        <f t="shared" si="41"/>
        <v>#N/A</v>
      </c>
      <c r="BK35" t="e">
        <f>IF(BJ35=0,BK34,IF(ROUNDDOWN(SUM(BJ$22:BJ35),0)=ROUNDDOWN(SUM(BJ$22:BJ34),0),BK34+BJ35,ROUNDDOWN(SUM(BJ$22:BJ35),0)+BJ35))</f>
        <v>#N/A</v>
      </c>
      <c r="BL35" t="e">
        <f t="shared" si="44"/>
        <v>#N/A</v>
      </c>
      <c r="BM35" t="e">
        <f t="shared" si="38"/>
        <v>#N/A</v>
      </c>
      <c r="BN35" t="e">
        <f t="shared" si="42"/>
        <v>#N/A</v>
      </c>
    </row>
    <row r="36" spans="2:66" x14ac:dyDescent="0.25">
      <c r="L36">
        <v>33</v>
      </c>
      <c r="M36">
        <f>_xlfn.XLOOKUP(L36,'Order Page'!X$27:X$393,'Order Page'!T$27:T$393,0)</f>
        <v>0</v>
      </c>
      <c r="N36">
        <f>_xlfn.XLOOKUP(L36,'Order Page'!X$27:X$393,'Order Page'!R$27:R$393,0)</f>
        <v>0</v>
      </c>
      <c r="O36" t="str">
        <f t="shared" ref="O36:O67" si="45">IF(M36&lt;&gt;0,_xlfn.XLOOKUP(M36,B$38:B$46,C$38:C$46,"")+_xlfn.XLOOKUP(N36,G$38:G$45,H$38:H$45,0)+L36,"")</f>
        <v/>
      </c>
      <c r="P36" t="str">
        <f t="shared" ref="P36:P67" si="46">IFERROR(IF(O36&gt;0,RANK(O36,O$4:O$154,1)-1,0),"")</f>
        <v/>
      </c>
      <c r="Q36" s="263"/>
      <c r="R36">
        <v>33</v>
      </c>
      <c r="S36">
        <f t="shared" si="15"/>
        <v>1</v>
      </c>
      <c r="T36">
        <f t="shared" ref="T36:T67" si="47">_xlfn.XLOOKUP(R36,P$4:P$153,L$4:L$153,0)</f>
        <v>0</v>
      </c>
      <c r="U36">
        <f>_xlfn.XLOOKUP(T36,'Order Page'!X$27:X$393,'Order Page'!U$27:U$393,"")</f>
        <v>0</v>
      </c>
      <c r="W36" t="str">
        <f t="shared" ref="W36:W67" si="48">_xlfn.XLOOKUP(T36,L$4:L$153,M$4:M$153,"")</f>
        <v/>
      </c>
      <c r="X36" t="str">
        <f t="shared" ref="X36:X67" si="49">_xlfn.XLOOKUP(T36,L$4:L$153,N$4:N$153,"")</f>
        <v/>
      </c>
      <c r="Y36" t="str">
        <f>_xlfn.XLOOKUP(T36,'Order Page'!X$27:X$393,'Order Page'!C$27:C$393,"")</f>
        <v>Acorus Calamus</v>
      </c>
      <c r="Z36" s="264"/>
      <c r="AA36">
        <v>33</v>
      </c>
      <c r="AB36" cm="1">
        <f t="array" ref="AB36">VLOOKUP(ROW(33:33),S$4:T$153,2)</f>
        <v>0</v>
      </c>
      <c r="AD36" t="str">
        <f t="shared" ref="AD36:AD67" si="50">_xlfn.XLOOKUP(AB36,L$4:L$153,M$4:M$153,"")</f>
        <v/>
      </c>
      <c r="AE36" t="e">
        <f t="shared" si="25"/>
        <v>#N/A</v>
      </c>
      <c r="AF36" t="str">
        <f t="shared" ref="AF36:AF67" si="51">_xlfn.XLOOKUP(AB36,L$4:L$153,N$4:N$153,"")</f>
        <v/>
      </c>
      <c r="AG36" t="str">
        <f>_xlfn.XLOOKUP(AB36,'Order Page'!X$27:X$393,'Order Page'!C$27:C$393,"")</f>
        <v>Acorus Calamus</v>
      </c>
      <c r="AH36">
        <f t="shared" ref="AH36:AH67" si="52">_xlfn.XLOOKUP(AD36&amp;AF36,E$5:E$35,H$5:H$35,0)</f>
        <v>0</v>
      </c>
      <c r="AI36">
        <f t="shared" ref="AI36:AI67" si="53">_xlfn.XLOOKUP(AD36,B$5:B$35,D$5:D$35,0)</f>
        <v>0</v>
      </c>
      <c r="AJ36">
        <f t="shared" si="27"/>
        <v>0</v>
      </c>
      <c r="AK36">
        <f t="shared" si="17"/>
        <v>0</v>
      </c>
      <c r="AL36">
        <f>IF(OR(AD35&amp;AF35&lt;&gt;AD36&amp;AF36,AK36&lt;AK35),AK35,0)+MAX(AL$4:AL35)</f>
        <v>0</v>
      </c>
      <c r="AM36">
        <f t="shared" si="18"/>
        <v>0</v>
      </c>
      <c r="AO36" s="25" t="str">
        <f t="shared" si="19"/>
        <v/>
      </c>
      <c r="AP36" s="25" t="str">
        <f t="shared" ref="AP36:AP67" si="54">IF(AND(AO36="Y",OR(AD36="Waterlily",AD36="Planted Contour Basket Standard",AD36="Planted Contour Basket Premium")),"Y","")</f>
        <v/>
      </c>
      <c r="AQ36" t="str">
        <f t="shared" si="20"/>
        <v/>
      </c>
      <c r="AR36" t="str">
        <f t="shared" ref="AR36:AR67" si="55">IFERROR(IF(AQ36&gt;0,RANK(AQ36,AQ$4:AQ$203,1),0)-AM$2,"")</f>
        <v/>
      </c>
      <c r="AS36">
        <f t="shared" ref="AS36:AS67" si="56">AM36+IF(AR36&lt;1,_xlfn.XLOOKUP(AR36,AX$4:AX$16,BE$4:BE$16,0))+IF(AR36&gt;0,_xlfn.XLOOKUP(AR36,AX$22:AX$103,BN$22:BN$103,0),0)</f>
        <v>0</v>
      </c>
      <c r="AT36">
        <f t="shared" si="21"/>
        <v>0</v>
      </c>
      <c r="AU36" t="str">
        <f>_xlfn.XLOOKUP(AB36,'Order Page'!X$24:X$378,'Order Page'!B$24:B$378,0)</f>
        <v>x6</v>
      </c>
      <c r="AV36">
        <f>_xlfn.XLOOKUP(AB36,'Order Page'!X$24:X$378,'Order Page'!O$24:O$378,0)</f>
        <v>38</v>
      </c>
      <c r="AW36" s="264"/>
      <c r="AX36">
        <v>15</v>
      </c>
      <c r="AY36" t="e">
        <f t="shared" si="32"/>
        <v>#N/A</v>
      </c>
      <c r="AZ36" t="e">
        <f t="shared" si="33"/>
        <v>#N/A</v>
      </c>
      <c r="BA36" t="e">
        <f t="shared" si="34"/>
        <v>#N/A</v>
      </c>
      <c r="BB36" t="e">
        <f t="shared" si="35"/>
        <v>#N/A</v>
      </c>
      <c r="BC36" t="e">
        <f>IF(AND(BB$18&lt;1,AZ36&lt;=BC$18),IF(BB$18+BB36+SUMIF(BC$21:BC35,BD$18,BB$21:BB35)&lt;=1,BD$18,0))</f>
        <v>#N/A</v>
      </c>
      <c r="BD36" t="e">
        <f t="shared" si="39"/>
        <v>#N/A</v>
      </c>
      <c r="BE36" t="e">
        <f>IF(AND(BB$19&lt;1,AZ36&lt;=BC$19),IF(BB$19+BD36+SUMIF(BE$21:BE35,BD$19,BD$21:BD35)&lt;=1,BD$19,0))</f>
        <v>#N/A</v>
      </c>
      <c r="BF36" t="e">
        <f t="shared" si="40"/>
        <v>#N/A</v>
      </c>
      <c r="BG36">
        <f t="shared" si="36"/>
        <v>0</v>
      </c>
      <c r="BH36">
        <f t="shared" si="37"/>
        <v>0</v>
      </c>
      <c r="BI36">
        <f t="shared" si="43"/>
        <v>0</v>
      </c>
      <c r="BJ36" t="e">
        <f t="shared" si="41"/>
        <v>#N/A</v>
      </c>
      <c r="BK36" t="e">
        <f>IF(BJ36=0,BK35,IF(ROUNDDOWN(SUM(BJ$22:BJ36),0)=ROUNDDOWN(SUM(BJ$22:BJ35),0),BK35+BJ36,ROUNDDOWN(SUM(BJ$22:BJ36),0)+BJ36))</f>
        <v>#N/A</v>
      </c>
      <c r="BL36" t="e">
        <f t="shared" si="44"/>
        <v>#N/A</v>
      </c>
      <c r="BM36" t="e">
        <f t="shared" si="38"/>
        <v>#N/A</v>
      </c>
      <c r="BN36" t="e">
        <f t="shared" si="42"/>
        <v>#N/A</v>
      </c>
    </row>
    <row r="37" spans="2:66" x14ac:dyDescent="0.25">
      <c r="D37" t="s">
        <v>722</v>
      </c>
      <c r="L37">
        <v>34</v>
      </c>
      <c r="M37">
        <f>_xlfn.XLOOKUP(L37,'Order Page'!X$27:X$393,'Order Page'!T$27:T$393,0)</f>
        <v>0</v>
      </c>
      <c r="N37">
        <f>_xlfn.XLOOKUP(L37,'Order Page'!X$27:X$393,'Order Page'!R$27:R$393,0)</f>
        <v>0</v>
      </c>
      <c r="O37" t="str">
        <f t="shared" si="45"/>
        <v/>
      </c>
      <c r="P37" t="str">
        <f t="shared" si="46"/>
        <v/>
      </c>
      <c r="Q37" s="263"/>
      <c r="R37">
        <v>34</v>
      </c>
      <c r="S37">
        <f t="shared" ref="S37:S68" si="57">S36+U36</f>
        <v>1</v>
      </c>
      <c r="T37">
        <f t="shared" si="47"/>
        <v>0</v>
      </c>
      <c r="U37">
        <f>_xlfn.XLOOKUP(T37,'Order Page'!X$27:X$393,'Order Page'!U$27:U$393,"")</f>
        <v>0</v>
      </c>
      <c r="W37" t="str">
        <f t="shared" si="48"/>
        <v/>
      </c>
      <c r="X37" t="str">
        <f t="shared" si="49"/>
        <v/>
      </c>
      <c r="Y37" t="str">
        <f>_xlfn.XLOOKUP(T37,'Order Page'!X$27:X$393,'Order Page'!C$27:C$393,"")</f>
        <v>Acorus Calamus</v>
      </c>
      <c r="Z37" s="264"/>
      <c r="AA37">
        <v>34</v>
      </c>
      <c r="AB37" cm="1">
        <f t="array" ref="AB37">VLOOKUP(ROW(34:34),S$4:T$153,2)</f>
        <v>0</v>
      </c>
      <c r="AD37" t="str">
        <f t="shared" si="50"/>
        <v/>
      </c>
      <c r="AE37" t="e">
        <f t="shared" si="25"/>
        <v>#N/A</v>
      </c>
      <c r="AF37" t="str">
        <f t="shared" si="51"/>
        <v/>
      </c>
      <c r="AG37" t="str">
        <f>_xlfn.XLOOKUP(AB37,'Order Page'!X$27:X$393,'Order Page'!C$27:C$393,"")</f>
        <v>Acorus Calamus</v>
      </c>
      <c r="AH37">
        <f t="shared" si="52"/>
        <v>0</v>
      </c>
      <c r="AI37">
        <f t="shared" si="53"/>
        <v>0</v>
      </c>
      <c r="AJ37">
        <f t="shared" si="27"/>
        <v>0</v>
      </c>
      <c r="AK37">
        <f t="shared" si="17"/>
        <v>0</v>
      </c>
      <c r="AL37">
        <f>IF(OR(AD36&amp;AF36&lt;&gt;AD37&amp;AF37,AK37&lt;AK36),AK36,0)+MAX(AL$4:AL36)</f>
        <v>0</v>
      </c>
      <c r="AM37">
        <f t="shared" si="18"/>
        <v>0</v>
      </c>
      <c r="AO37" s="25" t="str">
        <f t="shared" si="19"/>
        <v/>
      </c>
      <c r="AP37" s="25" t="str">
        <f t="shared" si="54"/>
        <v/>
      </c>
      <c r="AQ37" t="str">
        <f t="shared" si="20"/>
        <v/>
      </c>
      <c r="AR37" t="str">
        <f t="shared" si="55"/>
        <v/>
      </c>
      <c r="AS37">
        <f t="shared" si="56"/>
        <v>0</v>
      </c>
      <c r="AT37">
        <f t="shared" si="21"/>
        <v>0</v>
      </c>
      <c r="AU37" t="str">
        <f>_xlfn.XLOOKUP(AB37,'Order Page'!X$24:X$378,'Order Page'!B$24:B$378,0)</f>
        <v>x6</v>
      </c>
      <c r="AV37">
        <f>_xlfn.XLOOKUP(AB37,'Order Page'!X$24:X$378,'Order Page'!O$24:O$378,0)</f>
        <v>38</v>
      </c>
      <c r="AW37" s="264"/>
      <c r="AX37">
        <v>16</v>
      </c>
      <c r="AY37" t="e">
        <f t="shared" si="32"/>
        <v>#N/A</v>
      </c>
      <c r="AZ37" t="e">
        <f t="shared" si="33"/>
        <v>#N/A</v>
      </c>
      <c r="BA37" t="e">
        <f t="shared" si="34"/>
        <v>#N/A</v>
      </c>
      <c r="BB37" t="e">
        <f t="shared" si="35"/>
        <v>#N/A</v>
      </c>
      <c r="BC37" t="e">
        <f>IF(AND(BB$18&lt;1,AZ37&lt;=BC$18),IF(BB$18+BB37+SUMIF(BC$21:BC36,BD$18,BB$21:BB36)&lt;=1,BD$18,0))</f>
        <v>#N/A</v>
      </c>
      <c r="BD37" t="e">
        <f t="shared" si="39"/>
        <v>#N/A</v>
      </c>
      <c r="BE37" t="e">
        <f>IF(AND(BB$19&lt;1,AZ37&lt;=BC$19),IF(BB$19+BD37+SUMIF(BE$21:BE36,BD$19,BD$21:BD36)&lt;=1,BD$19,0))</f>
        <v>#N/A</v>
      </c>
      <c r="BF37" t="e">
        <f t="shared" si="40"/>
        <v>#N/A</v>
      </c>
      <c r="BG37">
        <f t="shared" si="36"/>
        <v>0</v>
      </c>
      <c r="BH37">
        <f t="shared" si="37"/>
        <v>0</v>
      </c>
      <c r="BI37">
        <f t="shared" si="43"/>
        <v>0</v>
      </c>
      <c r="BJ37" t="e">
        <f t="shared" si="41"/>
        <v>#N/A</v>
      </c>
      <c r="BK37" t="e">
        <f>IF(BJ37=0,BK36,IF(ROUNDDOWN(SUM(BJ$22:BJ37),0)=ROUNDDOWN(SUM(BJ$22:BJ36),0),BK36+BJ37,ROUNDDOWN(SUM(BJ$22:BJ37),0)+BJ37))</f>
        <v>#N/A</v>
      </c>
      <c r="BL37" t="e">
        <f t="shared" si="44"/>
        <v>#N/A</v>
      </c>
      <c r="BM37" t="e">
        <f t="shared" si="38"/>
        <v>#N/A</v>
      </c>
      <c r="BN37" t="e">
        <f t="shared" si="42"/>
        <v>#N/A</v>
      </c>
    </row>
    <row r="38" spans="2:66" x14ac:dyDescent="0.25">
      <c r="B38" t="s">
        <v>562</v>
      </c>
      <c r="C38">
        <v>0</v>
      </c>
      <c r="D38">
        <v>7.0999999999999994E-2</v>
      </c>
      <c r="G38">
        <v>25</v>
      </c>
      <c r="H38">
        <v>0</v>
      </c>
      <c r="L38">
        <v>35</v>
      </c>
      <c r="M38">
        <f>_xlfn.XLOOKUP(L38,'Order Page'!X$27:X$393,'Order Page'!T$27:T$393,0)</f>
        <v>0</v>
      </c>
      <c r="N38">
        <f>_xlfn.XLOOKUP(L38,'Order Page'!X$27:X$393,'Order Page'!R$27:R$393,0)</f>
        <v>0</v>
      </c>
      <c r="O38" t="str">
        <f t="shared" si="45"/>
        <v/>
      </c>
      <c r="P38" t="str">
        <f t="shared" si="46"/>
        <v/>
      </c>
      <c r="Q38" s="263"/>
      <c r="R38">
        <v>35</v>
      </c>
      <c r="S38">
        <f t="shared" si="57"/>
        <v>1</v>
      </c>
      <c r="T38">
        <f t="shared" si="47"/>
        <v>0</v>
      </c>
      <c r="U38">
        <f>_xlfn.XLOOKUP(T38,'Order Page'!X$27:X$393,'Order Page'!U$27:U$393,"")</f>
        <v>0</v>
      </c>
      <c r="W38" t="str">
        <f t="shared" si="48"/>
        <v/>
      </c>
      <c r="X38" t="str">
        <f t="shared" si="49"/>
        <v/>
      </c>
      <c r="Y38" t="str">
        <f>_xlfn.XLOOKUP(T38,'Order Page'!X$27:X$393,'Order Page'!C$27:C$393,"")</f>
        <v>Acorus Calamus</v>
      </c>
      <c r="Z38" s="264"/>
      <c r="AA38">
        <v>35</v>
      </c>
      <c r="AB38" cm="1">
        <f t="array" ref="AB38">VLOOKUP(ROW(35:35),S$4:T$153,2)</f>
        <v>0</v>
      </c>
      <c r="AD38" t="str">
        <f t="shared" si="50"/>
        <v/>
      </c>
      <c r="AE38" t="e">
        <f t="shared" si="25"/>
        <v>#N/A</v>
      </c>
      <c r="AF38" t="str">
        <f t="shared" si="51"/>
        <v/>
      </c>
      <c r="AG38" t="str">
        <f>_xlfn.XLOOKUP(AB38,'Order Page'!X$27:X$393,'Order Page'!C$27:C$393,"")</f>
        <v>Acorus Calamus</v>
      </c>
      <c r="AH38">
        <f t="shared" si="52"/>
        <v>0</v>
      </c>
      <c r="AI38">
        <f t="shared" si="53"/>
        <v>0</v>
      </c>
      <c r="AJ38">
        <f>IF(AND(AD38&amp;AF38=AD37&amp;AF37,AH38&gt;0),AJ37+AI38,IF(AH38&gt;0,AI38,0))</f>
        <v>0</v>
      </c>
      <c r="AK38">
        <f t="shared" si="17"/>
        <v>0</v>
      </c>
      <c r="AL38">
        <f>IF(OR(AD37&amp;AF37&lt;&gt;AD38&amp;AF38,AK38&lt;AK37),AK37,0)+MAX(AL$4:AL37)</f>
        <v>0</v>
      </c>
      <c r="AM38">
        <f t="shared" si="18"/>
        <v>0</v>
      </c>
      <c r="AO38" s="25" t="str">
        <f t="shared" si="19"/>
        <v/>
      </c>
      <c r="AP38" s="25" t="str">
        <f t="shared" si="54"/>
        <v/>
      </c>
      <c r="AQ38" t="str">
        <f t="shared" si="20"/>
        <v/>
      </c>
      <c r="AR38" t="str">
        <f t="shared" si="55"/>
        <v/>
      </c>
      <c r="AS38">
        <f t="shared" si="56"/>
        <v>0</v>
      </c>
      <c r="AT38">
        <f t="shared" si="21"/>
        <v>0</v>
      </c>
      <c r="AU38" t="str">
        <f>_xlfn.XLOOKUP(AB38,'Order Page'!X$24:X$378,'Order Page'!B$24:B$378,0)</f>
        <v>x6</v>
      </c>
      <c r="AV38">
        <f>_xlfn.XLOOKUP(AB38,'Order Page'!X$24:X$378,'Order Page'!O$24:O$378,0)</f>
        <v>38</v>
      </c>
      <c r="AW38" s="264"/>
      <c r="AX38">
        <v>17</v>
      </c>
      <c r="AY38" t="e">
        <f t="shared" si="32"/>
        <v>#N/A</v>
      </c>
      <c r="AZ38" t="e">
        <f t="shared" si="33"/>
        <v>#N/A</v>
      </c>
      <c r="BA38" t="e">
        <f t="shared" si="34"/>
        <v>#N/A</v>
      </c>
      <c r="BB38" t="e">
        <f t="shared" si="35"/>
        <v>#N/A</v>
      </c>
      <c r="BC38" t="e">
        <f>IF(AND(BB$18&lt;1,AZ38&lt;=BC$18),IF(BB$18+BB38+SUMIF(BC$21:BC37,BD$18,BB$21:BB37)&lt;=1,BD$18,0))</f>
        <v>#N/A</v>
      </c>
      <c r="BD38" t="e">
        <f t="shared" si="39"/>
        <v>#N/A</v>
      </c>
      <c r="BE38" t="e">
        <f>IF(AND(BB$19&lt;1,AZ38&lt;=BC$19),IF(BB$19+BD38+SUMIF(BE$21:BE37,BD$19,BD$21:BD37)&lt;=1,BD$19,0))</f>
        <v>#N/A</v>
      </c>
      <c r="BF38" t="e">
        <f t="shared" si="40"/>
        <v>#N/A</v>
      </c>
      <c r="BG38">
        <f t="shared" si="36"/>
        <v>0</v>
      </c>
      <c r="BH38">
        <f t="shared" si="37"/>
        <v>0</v>
      </c>
      <c r="BI38">
        <f t="shared" si="43"/>
        <v>0</v>
      </c>
      <c r="BJ38" t="e">
        <f t="shared" si="41"/>
        <v>#N/A</v>
      </c>
      <c r="BK38" t="e">
        <f>IF(BJ38=0,BK37,IF(ROUNDDOWN(SUM(BJ$22:BJ38),0)=ROUNDDOWN(SUM(BJ$22:BJ37),0),BK37+BJ38,ROUNDDOWN(SUM(BJ$22:BJ38),0)+BJ38))</f>
        <v>#N/A</v>
      </c>
      <c r="BL38" t="e">
        <f t="shared" si="44"/>
        <v>#N/A</v>
      </c>
      <c r="BM38" t="e">
        <f t="shared" si="38"/>
        <v>#N/A</v>
      </c>
      <c r="BN38" t="e">
        <f t="shared" si="42"/>
        <v>#N/A</v>
      </c>
    </row>
    <row r="39" spans="2:66" x14ac:dyDescent="0.25">
      <c r="B39" t="s">
        <v>583</v>
      </c>
      <c r="C39">
        <v>2000</v>
      </c>
      <c r="D39">
        <v>0.16600000000000001</v>
      </c>
      <c r="G39">
        <v>30</v>
      </c>
      <c r="H39">
        <v>200</v>
      </c>
      <c r="L39">
        <v>36</v>
      </c>
      <c r="M39">
        <f>_xlfn.XLOOKUP(L39,'Order Page'!X$27:X$393,'Order Page'!T$27:T$393,0)</f>
        <v>0</v>
      </c>
      <c r="N39">
        <f>_xlfn.XLOOKUP(L39,'Order Page'!X$27:X$393,'Order Page'!R$27:R$393,0)</f>
        <v>0</v>
      </c>
      <c r="O39" t="str">
        <f t="shared" si="45"/>
        <v/>
      </c>
      <c r="P39" t="str">
        <f t="shared" si="46"/>
        <v/>
      </c>
      <c r="Q39" s="263"/>
      <c r="R39">
        <v>36</v>
      </c>
      <c r="S39">
        <f t="shared" si="57"/>
        <v>1</v>
      </c>
      <c r="T39">
        <f t="shared" si="47"/>
        <v>0</v>
      </c>
      <c r="U39">
        <f>_xlfn.XLOOKUP(T39,'Order Page'!X$27:X$393,'Order Page'!U$27:U$393,"")</f>
        <v>0</v>
      </c>
      <c r="W39" t="str">
        <f t="shared" si="48"/>
        <v/>
      </c>
      <c r="X39" t="str">
        <f t="shared" si="49"/>
        <v/>
      </c>
      <c r="Y39" t="str">
        <f>_xlfn.XLOOKUP(T39,'Order Page'!X$27:X$393,'Order Page'!C$27:C$393,"")</f>
        <v>Acorus Calamus</v>
      </c>
      <c r="Z39" s="264"/>
      <c r="AA39">
        <v>36</v>
      </c>
      <c r="AB39" cm="1">
        <f t="array" ref="AB39">VLOOKUP(ROW(36:36),S$4:T$153,2)</f>
        <v>0</v>
      </c>
      <c r="AD39" t="str">
        <f t="shared" si="50"/>
        <v/>
      </c>
      <c r="AE39" t="e">
        <f t="shared" si="25"/>
        <v>#N/A</v>
      </c>
      <c r="AF39" t="str">
        <f t="shared" si="51"/>
        <v/>
      </c>
      <c r="AG39" t="str">
        <f>_xlfn.XLOOKUP(AB39,'Order Page'!X$27:X$393,'Order Page'!C$27:C$393,"")</f>
        <v>Acorus Calamus</v>
      </c>
      <c r="AH39">
        <f t="shared" si="52"/>
        <v>0</v>
      </c>
      <c r="AI39">
        <f t="shared" si="53"/>
        <v>0</v>
      </c>
      <c r="AJ39">
        <f t="shared" si="27"/>
        <v>0</v>
      </c>
      <c r="AK39">
        <f t="shared" si="17"/>
        <v>0</v>
      </c>
      <c r="AL39">
        <f>IF(OR(AD38&amp;AF38&lt;&gt;AD39&amp;AF39,AK39&lt;AK38),AK38,0)+MAX(AL$4:AL38)</f>
        <v>0</v>
      </c>
      <c r="AM39">
        <f t="shared" si="18"/>
        <v>0</v>
      </c>
      <c r="AO39" s="25" t="str">
        <f t="shared" si="19"/>
        <v/>
      </c>
      <c r="AP39" s="25" t="str">
        <f t="shared" si="54"/>
        <v/>
      </c>
      <c r="AQ39" t="str">
        <f t="shared" si="20"/>
        <v/>
      </c>
      <c r="AR39" t="str">
        <f t="shared" si="55"/>
        <v/>
      </c>
      <c r="AS39">
        <f t="shared" si="56"/>
        <v>0</v>
      </c>
      <c r="AT39">
        <f t="shared" si="21"/>
        <v>0</v>
      </c>
      <c r="AU39" t="str">
        <f>_xlfn.XLOOKUP(AB39,'Order Page'!X$24:X$378,'Order Page'!B$24:B$378,0)</f>
        <v>x6</v>
      </c>
      <c r="AV39">
        <f>_xlfn.XLOOKUP(AB39,'Order Page'!X$24:X$378,'Order Page'!O$24:O$378,0)</f>
        <v>38</v>
      </c>
      <c r="AW39" s="264"/>
      <c r="AX39">
        <v>18</v>
      </c>
      <c r="AY39" t="e">
        <f t="shared" si="32"/>
        <v>#N/A</v>
      </c>
      <c r="AZ39" t="e">
        <f t="shared" si="33"/>
        <v>#N/A</v>
      </c>
      <c r="BA39" t="e">
        <f t="shared" si="34"/>
        <v>#N/A</v>
      </c>
      <c r="BB39" t="e">
        <f t="shared" si="35"/>
        <v>#N/A</v>
      </c>
      <c r="BC39" t="e">
        <f>IF(AND(BB$18&lt;1,AZ39&lt;=BC$18),IF(BB$18+BB39+SUMIF(BC$21:BC38,BD$18,BB$21:BB38)&lt;=1,BD$18,0))</f>
        <v>#N/A</v>
      </c>
      <c r="BD39" t="e">
        <f t="shared" si="39"/>
        <v>#N/A</v>
      </c>
      <c r="BE39" t="e">
        <f>IF(AND(BB$19&lt;1,AZ39&lt;=BC$19),IF(BB$19+BD39+SUMIF(BE$21:BE38,BD$19,BD$21:BD38)&lt;=1,BD$19,0))</f>
        <v>#N/A</v>
      </c>
      <c r="BF39" t="e">
        <f t="shared" si="40"/>
        <v>#N/A</v>
      </c>
      <c r="BG39">
        <f t="shared" si="36"/>
        <v>0</v>
      </c>
      <c r="BH39">
        <f t="shared" si="37"/>
        <v>0</v>
      </c>
      <c r="BI39">
        <f t="shared" si="43"/>
        <v>0</v>
      </c>
      <c r="BJ39" t="e">
        <f t="shared" si="41"/>
        <v>#N/A</v>
      </c>
      <c r="BK39" t="e">
        <f>IF(BJ39=0,BK38,IF(ROUNDDOWN(SUM(BJ$22:BJ39),0)=ROUNDDOWN(SUM(BJ$22:BJ38),0),BK38+BJ39,ROUNDDOWN(SUM(BJ$22:BJ39),0)+BJ39))</f>
        <v>#N/A</v>
      </c>
      <c r="BL39" t="e">
        <f t="shared" si="44"/>
        <v>#N/A</v>
      </c>
      <c r="BM39" t="e">
        <f t="shared" si="38"/>
        <v>#N/A</v>
      </c>
      <c r="BN39" t="e">
        <f t="shared" si="42"/>
        <v>#N/A</v>
      </c>
    </row>
    <row r="40" spans="2:66" x14ac:dyDescent="0.25">
      <c r="B40" t="s">
        <v>612</v>
      </c>
      <c r="C40">
        <v>4000</v>
      </c>
      <c r="D40" s="261">
        <v>0.14199999999999999</v>
      </c>
      <c r="G40">
        <v>35</v>
      </c>
      <c r="H40">
        <v>400</v>
      </c>
      <c r="L40">
        <v>37</v>
      </c>
      <c r="M40">
        <f>_xlfn.XLOOKUP(L40,'Order Page'!X$27:X$393,'Order Page'!T$27:T$393,0)</f>
        <v>0</v>
      </c>
      <c r="N40">
        <f>_xlfn.XLOOKUP(L40,'Order Page'!X$27:X$393,'Order Page'!R$27:R$393,0)</f>
        <v>0</v>
      </c>
      <c r="O40" t="str">
        <f t="shared" si="45"/>
        <v/>
      </c>
      <c r="P40" t="str">
        <f t="shared" si="46"/>
        <v/>
      </c>
      <c r="Q40" s="263"/>
      <c r="R40">
        <v>37</v>
      </c>
      <c r="S40">
        <f t="shared" si="57"/>
        <v>1</v>
      </c>
      <c r="T40">
        <f t="shared" si="47"/>
        <v>0</v>
      </c>
      <c r="U40">
        <f>_xlfn.XLOOKUP(T40,'Order Page'!X$27:X$393,'Order Page'!U$27:U$393,"")</f>
        <v>0</v>
      </c>
      <c r="W40" t="str">
        <f t="shared" si="48"/>
        <v/>
      </c>
      <c r="X40" t="str">
        <f t="shared" si="49"/>
        <v/>
      </c>
      <c r="Y40" t="str">
        <f>_xlfn.XLOOKUP(T40,'Order Page'!X$27:X$393,'Order Page'!C$27:C$393,"")</f>
        <v>Acorus Calamus</v>
      </c>
      <c r="Z40" s="264"/>
      <c r="AA40">
        <v>37</v>
      </c>
      <c r="AB40" cm="1">
        <f t="array" ref="AB40">VLOOKUP(ROW(37:37),S$4:T$153,2)</f>
        <v>0</v>
      </c>
      <c r="AD40" t="str">
        <f t="shared" si="50"/>
        <v/>
      </c>
      <c r="AE40" t="e">
        <f t="shared" si="25"/>
        <v>#N/A</v>
      </c>
      <c r="AF40" t="str">
        <f t="shared" si="51"/>
        <v/>
      </c>
      <c r="AG40" t="str">
        <f>_xlfn.XLOOKUP(AB40,'Order Page'!X$27:X$393,'Order Page'!C$27:C$393,"")</f>
        <v>Acorus Calamus</v>
      </c>
      <c r="AH40">
        <f t="shared" si="52"/>
        <v>0</v>
      </c>
      <c r="AI40">
        <f t="shared" si="53"/>
        <v>0</v>
      </c>
      <c r="AJ40">
        <f t="shared" si="27"/>
        <v>0</v>
      </c>
      <c r="AK40">
        <f t="shared" si="17"/>
        <v>0</v>
      </c>
      <c r="AL40">
        <f>IF(OR(AD39&amp;AF39&lt;&gt;AD40&amp;AF40,AK40&lt;AK39),AK39,0)+MAX(AL$4:AL39)</f>
        <v>0</v>
      </c>
      <c r="AM40">
        <f t="shared" si="18"/>
        <v>0</v>
      </c>
      <c r="AO40" s="25" t="str">
        <f t="shared" si="19"/>
        <v/>
      </c>
      <c r="AP40" s="25" t="str">
        <f t="shared" si="54"/>
        <v/>
      </c>
      <c r="AQ40" t="str">
        <f t="shared" si="20"/>
        <v/>
      </c>
      <c r="AR40" t="str">
        <f t="shared" si="55"/>
        <v/>
      </c>
      <c r="AS40">
        <f t="shared" si="56"/>
        <v>0</v>
      </c>
      <c r="AT40">
        <f t="shared" si="21"/>
        <v>0</v>
      </c>
      <c r="AU40" t="str">
        <f>_xlfn.XLOOKUP(AB40,'Order Page'!X$24:X$378,'Order Page'!B$24:B$378,0)</f>
        <v>x6</v>
      </c>
      <c r="AV40">
        <f>_xlfn.XLOOKUP(AB40,'Order Page'!X$24:X$378,'Order Page'!O$24:O$378,0)</f>
        <v>38</v>
      </c>
      <c r="AW40" s="264"/>
      <c r="AX40">
        <v>19</v>
      </c>
      <c r="AY40" t="e">
        <f t="shared" si="32"/>
        <v>#N/A</v>
      </c>
      <c r="AZ40" t="e">
        <f t="shared" si="33"/>
        <v>#N/A</v>
      </c>
      <c r="BA40" t="e">
        <f t="shared" si="34"/>
        <v>#N/A</v>
      </c>
      <c r="BB40" t="e">
        <f t="shared" si="35"/>
        <v>#N/A</v>
      </c>
      <c r="BC40" t="e">
        <f>IF(AND(BB$18&lt;1,AZ40&lt;=BC$18),IF(BB$18+BB40+SUMIF(BC$21:BC39,BD$18,BB$21:BB39)&lt;=1,BD$18,0))</f>
        <v>#N/A</v>
      </c>
      <c r="BD40" t="e">
        <f t="shared" si="39"/>
        <v>#N/A</v>
      </c>
      <c r="BE40" t="e">
        <f>IF(AND(BB$19&lt;1,AZ40&lt;=BC$19),IF(BB$19+BD40+SUMIF(BE$21:BE39,BD$19,BD$21:BD39)&lt;=1,BD$19,0))</f>
        <v>#N/A</v>
      </c>
      <c r="BF40" t="e">
        <f t="shared" si="40"/>
        <v>#N/A</v>
      </c>
      <c r="BG40">
        <f t="shared" si="36"/>
        <v>0</v>
      </c>
      <c r="BH40">
        <f t="shared" si="37"/>
        <v>0</v>
      </c>
      <c r="BI40">
        <f t="shared" si="43"/>
        <v>0</v>
      </c>
      <c r="BJ40" t="e">
        <f t="shared" si="41"/>
        <v>#N/A</v>
      </c>
      <c r="BK40" t="e">
        <f>IF(BJ40=0,BK39,IF(ROUNDDOWN(SUM(BJ$22:BJ40),0)=ROUNDDOWN(SUM(BJ$22:BJ39),0),BK39+BJ40,ROUNDDOWN(SUM(BJ$22:BJ40),0)+BJ40))</f>
        <v>#N/A</v>
      </c>
      <c r="BL40" t="e">
        <f t="shared" si="44"/>
        <v>#N/A</v>
      </c>
      <c r="BM40" t="e">
        <f t="shared" si="38"/>
        <v>#N/A</v>
      </c>
      <c r="BN40" t="e">
        <f t="shared" si="42"/>
        <v>#N/A</v>
      </c>
    </row>
    <row r="41" spans="2:66" x14ac:dyDescent="0.25">
      <c r="B41" t="s">
        <v>577</v>
      </c>
      <c r="C41">
        <v>6000</v>
      </c>
      <c r="D41" s="261">
        <v>0.2</v>
      </c>
      <c r="G41">
        <v>40</v>
      </c>
      <c r="H41">
        <v>600</v>
      </c>
      <c r="L41">
        <v>38</v>
      </c>
      <c r="M41">
        <f>_xlfn.XLOOKUP(L41,'Order Page'!X$27:X$393,'Order Page'!T$27:T$393,0)</f>
        <v>0</v>
      </c>
      <c r="N41">
        <f>_xlfn.XLOOKUP(L41,'Order Page'!X$27:X$393,'Order Page'!R$27:R$393,0)</f>
        <v>0</v>
      </c>
      <c r="O41" t="str">
        <f t="shared" si="45"/>
        <v/>
      </c>
      <c r="P41" t="str">
        <f t="shared" si="46"/>
        <v/>
      </c>
      <c r="Q41" s="263"/>
      <c r="R41">
        <v>38</v>
      </c>
      <c r="S41">
        <f t="shared" si="57"/>
        <v>1</v>
      </c>
      <c r="T41">
        <f t="shared" si="47"/>
        <v>0</v>
      </c>
      <c r="U41">
        <f>_xlfn.XLOOKUP(T41,'Order Page'!X$27:X$393,'Order Page'!U$27:U$393,"")</f>
        <v>0</v>
      </c>
      <c r="W41" t="str">
        <f t="shared" si="48"/>
        <v/>
      </c>
      <c r="X41" t="str">
        <f t="shared" si="49"/>
        <v/>
      </c>
      <c r="Y41" t="str">
        <f>_xlfn.XLOOKUP(T41,'Order Page'!X$27:X$393,'Order Page'!C$27:C$393,"")</f>
        <v>Acorus Calamus</v>
      </c>
      <c r="Z41" s="264"/>
      <c r="AA41">
        <v>38</v>
      </c>
      <c r="AB41" cm="1">
        <f t="array" ref="AB41">VLOOKUP(ROW(38:38),S$4:T$153,2)</f>
        <v>0</v>
      </c>
      <c r="AD41" t="str">
        <f t="shared" si="50"/>
        <v/>
      </c>
      <c r="AE41" t="e">
        <f t="shared" si="25"/>
        <v>#N/A</v>
      </c>
      <c r="AF41" t="str">
        <f t="shared" si="51"/>
        <v/>
      </c>
      <c r="AG41" t="str">
        <f>_xlfn.XLOOKUP(AB41,'Order Page'!X$27:X$393,'Order Page'!C$27:C$393,"")</f>
        <v>Acorus Calamus</v>
      </c>
      <c r="AH41">
        <f t="shared" si="52"/>
        <v>0</v>
      </c>
      <c r="AI41">
        <f t="shared" si="53"/>
        <v>0</v>
      </c>
      <c r="AJ41">
        <f t="shared" si="27"/>
        <v>0</v>
      </c>
      <c r="AK41">
        <f t="shared" si="17"/>
        <v>0</v>
      </c>
      <c r="AL41">
        <f>IF(OR(AD40&amp;AF40&lt;&gt;AD41&amp;AF41,AK41&lt;AK40),AK40,0)+MAX(AL$4:AL40)</f>
        <v>0</v>
      </c>
      <c r="AM41">
        <f t="shared" si="18"/>
        <v>0</v>
      </c>
      <c r="AO41" s="25" t="str">
        <f t="shared" si="19"/>
        <v/>
      </c>
      <c r="AP41" s="25" t="str">
        <f t="shared" si="54"/>
        <v/>
      </c>
      <c r="AQ41" t="str">
        <f t="shared" si="20"/>
        <v/>
      </c>
      <c r="AR41" t="str">
        <f t="shared" si="55"/>
        <v/>
      </c>
      <c r="AS41">
        <f t="shared" si="56"/>
        <v>0</v>
      </c>
      <c r="AT41">
        <f t="shared" si="21"/>
        <v>0</v>
      </c>
      <c r="AU41" t="str">
        <f>_xlfn.XLOOKUP(AB41,'Order Page'!X$24:X$378,'Order Page'!B$24:B$378,0)</f>
        <v>x6</v>
      </c>
      <c r="AV41">
        <f>_xlfn.XLOOKUP(AB41,'Order Page'!X$24:X$378,'Order Page'!O$24:O$378,0)</f>
        <v>38</v>
      </c>
      <c r="AW41" s="264"/>
      <c r="AX41">
        <v>20</v>
      </c>
      <c r="AY41" t="e">
        <f t="shared" si="32"/>
        <v>#N/A</v>
      </c>
      <c r="AZ41" t="e">
        <f t="shared" si="33"/>
        <v>#N/A</v>
      </c>
      <c r="BA41" t="e">
        <f t="shared" si="34"/>
        <v>#N/A</v>
      </c>
      <c r="BB41" t="e">
        <f t="shared" si="35"/>
        <v>#N/A</v>
      </c>
      <c r="BC41" t="e">
        <f>IF(AND(BB$18&lt;1,AZ41&lt;=BC$18),IF(BB$18+BB41+SUMIF(BC$21:BC40,BD$18,BB$21:BB40)&lt;=1,BD$18,0))</f>
        <v>#N/A</v>
      </c>
      <c r="BD41" t="e">
        <f t="shared" si="39"/>
        <v>#N/A</v>
      </c>
      <c r="BE41" t="e">
        <f>IF(AND(BB$19&lt;1,AZ41&lt;=BC$19),IF(BB$19+BD41+SUMIF(BE$21:BE40,BD$19,BD$21:BD40)&lt;=1,BD$19,0))</f>
        <v>#N/A</v>
      </c>
      <c r="BF41" t="e">
        <f t="shared" si="40"/>
        <v>#N/A</v>
      </c>
      <c r="BG41">
        <f t="shared" si="36"/>
        <v>0</v>
      </c>
      <c r="BH41">
        <f t="shared" si="37"/>
        <v>0</v>
      </c>
      <c r="BI41">
        <f t="shared" si="43"/>
        <v>0</v>
      </c>
      <c r="BJ41" t="e">
        <f t="shared" si="41"/>
        <v>#N/A</v>
      </c>
      <c r="BK41" t="e">
        <f>IF(BJ41=0,BK40,IF(ROUNDDOWN(SUM(BJ$22:BJ41),0)=ROUNDDOWN(SUM(BJ$22:BJ40),0),BK40+BJ41,ROUNDDOWN(SUM(BJ$22:BJ41),0)+BJ41))</f>
        <v>#N/A</v>
      </c>
      <c r="BL41" t="e">
        <f t="shared" si="44"/>
        <v>#N/A</v>
      </c>
      <c r="BM41" t="e">
        <f t="shared" si="38"/>
        <v>#N/A</v>
      </c>
      <c r="BN41" t="e">
        <f t="shared" si="42"/>
        <v>#N/A</v>
      </c>
    </row>
    <row r="42" spans="2:66" x14ac:dyDescent="0.25">
      <c r="B42" t="s">
        <v>655</v>
      </c>
      <c r="C42">
        <v>8000</v>
      </c>
      <c r="D42" s="261">
        <v>0.25</v>
      </c>
      <c r="G42">
        <v>45</v>
      </c>
      <c r="H42">
        <v>800</v>
      </c>
      <c r="L42">
        <v>39</v>
      </c>
      <c r="M42">
        <f>_xlfn.XLOOKUP(L42,'Order Page'!X$27:X$393,'Order Page'!T$27:T$393,0)</f>
        <v>0</v>
      </c>
      <c r="N42">
        <f>_xlfn.XLOOKUP(L42,'Order Page'!X$27:X$393,'Order Page'!R$27:R$393,0)</f>
        <v>0</v>
      </c>
      <c r="O42" t="str">
        <f t="shared" si="45"/>
        <v/>
      </c>
      <c r="P42" t="str">
        <f t="shared" si="46"/>
        <v/>
      </c>
      <c r="Q42" s="263"/>
      <c r="R42">
        <v>39</v>
      </c>
      <c r="S42">
        <f t="shared" si="57"/>
        <v>1</v>
      </c>
      <c r="T42">
        <f t="shared" si="47"/>
        <v>0</v>
      </c>
      <c r="U42">
        <f>_xlfn.XLOOKUP(T42,'Order Page'!X$27:X$393,'Order Page'!U$27:U$393,"")</f>
        <v>0</v>
      </c>
      <c r="W42" t="str">
        <f t="shared" si="48"/>
        <v/>
      </c>
      <c r="X42" t="str">
        <f t="shared" si="49"/>
        <v/>
      </c>
      <c r="Y42" t="str">
        <f>_xlfn.XLOOKUP(T42,'Order Page'!X$27:X$393,'Order Page'!C$27:C$393,"")</f>
        <v>Acorus Calamus</v>
      </c>
      <c r="Z42" s="264"/>
      <c r="AA42">
        <v>39</v>
      </c>
      <c r="AB42" cm="1">
        <f t="array" ref="AB42">VLOOKUP(ROW(39:39),S$4:T$153,2)</f>
        <v>0</v>
      </c>
      <c r="AD42" t="str">
        <f t="shared" si="50"/>
        <v/>
      </c>
      <c r="AE42" t="e">
        <f t="shared" si="25"/>
        <v>#N/A</v>
      </c>
      <c r="AF42" t="str">
        <f t="shared" si="51"/>
        <v/>
      </c>
      <c r="AG42" t="str">
        <f>_xlfn.XLOOKUP(AB42,'Order Page'!X$27:X$393,'Order Page'!C$27:C$393,"")</f>
        <v>Acorus Calamus</v>
      </c>
      <c r="AH42">
        <f t="shared" si="52"/>
        <v>0</v>
      </c>
      <c r="AI42">
        <f t="shared" si="53"/>
        <v>0</v>
      </c>
      <c r="AJ42">
        <f t="shared" si="27"/>
        <v>0</v>
      </c>
      <c r="AK42">
        <f t="shared" si="17"/>
        <v>0</v>
      </c>
      <c r="AL42">
        <f>IF(OR(AD41&amp;AF41&lt;&gt;AD42&amp;AF42,AK42&lt;AK41),AK41,0)+MAX(AL$4:AL41)</f>
        <v>0</v>
      </c>
      <c r="AM42">
        <f t="shared" si="18"/>
        <v>0</v>
      </c>
      <c r="AO42" s="25" t="str">
        <f t="shared" si="19"/>
        <v/>
      </c>
      <c r="AP42" s="25" t="str">
        <f t="shared" si="54"/>
        <v/>
      </c>
      <c r="AQ42" t="str">
        <f t="shared" si="20"/>
        <v/>
      </c>
      <c r="AR42" t="str">
        <f t="shared" si="55"/>
        <v/>
      </c>
      <c r="AS42">
        <f t="shared" si="56"/>
        <v>0</v>
      </c>
      <c r="AT42">
        <f t="shared" si="21"/>
        <v>0</v>
      </c>
      <c r="AU42" t="str">
        <f>_xlfn.XLOOKUP(AB42,'Order Page'!X$24:X$378,'Order Page'!B$24:B$378,0)</f>
        <v>x6</v>
      </c>
      <c r="AV42">
        <f>_xlfn.XLOOKUP(AB42,'Order Page'!X$24:X$378,'Order Page'!O$24:O$378,0)</f>
        <v>38</v>
      </c>
      <c r="AW42" s="264"/>
      <c r="AX42">
        <v>21</v>
      </c>
      <c r="AY42" t="e">
        <f t="shared" si="32"/>
        <v>#N/A</v>
      </c>
      <c r="AZ42" t="e">
        <f t="shared" si="33"/>
        <v>#N/A</v>
      </c>
      <c r="BA42" t="e">
        <f t="shared" si="34"/>
        <v>#N/A</v>
      </c>
      <c r="BB42" t="e">
        <f t="shared" si="35"/>
        <v>#N/A</v>
      </c>
      <c r="BC42" t="e">
        <f>IF(AND(BB$18&lt;1,AZ42&lt;=BC$18),IF(BB$18+BB42+SUMIF(BC$21:BC41,BD$18,BB$21:BB41)&lt;=1,BD$18,0))</f>
        <v>#N/A</v>
      </c>
      <c r="BD42" t="e">
        <f t="shared" si="39"/>
        <v>#N/A</v>
      </c>
      <c r="BE42" t="e">
        <f>IF(AND(BB$19&lt;1,AZ42&lt;=BC$19),IF(BB$19+BD42+SUMIF(BE$21:BE41,BD$19,BD$21:BD41)&lt;=1,BD$19,0))</f>
        <v>#N/A</v>
      </c>
      <c r="BF42" t="e">
        <f t="shared" si="40"/>
        <v>#N/A</v>
      </c>
      <c r="BG42">
        <f t="shared" si="36"/>
        <v>0</v>
      </c>
      <c r="BH42">
        <f t="shared" si="37"/>
        <v>0</v>
      </c>
      <c r="BI42">
        <f t="shared" si="43"/>
        <v>0</v>
      </c>
      <c r="BJ42" t="e">
        <f t="shared" si="41"/>
        <v>#N/A</v>
      </c>
      <c r="BK42" t="e">
        <f>IF(BJ42=0,BK41,IF(ROUNDDOWN(SUM(BJ$22:BJ42),0)=ROUNDDOWN(SUM(BJ$22:BJ41),0),BK41+BJ42,ROUNDDOWN(SUM(BJ$22:BJ42),0)+BJ42))</f>
        <v>#N/A</v>
      </c>
      <c r="BL42" t="e">
        <f t="shared" si="44"/>
        <v>#N/A</v>
      </c>
      <c r="BM42" t="e">
        <f t="shared" si="38"/>
        <v>#N/A</v>
      </c>
      <c r="BN42" t="e">
        <f t="shared" si="42"/>
        <v>#N/A</v>
      </c>
    </row>
    <row r="43" spans="2:66" x14ac:dyDescent="0.25">
      <c r="B43" t="s">
        <v>656</v>
      </c>
      <c r="C43">
        <v>10000</v>
      </c>
      <c r="D43" s="261">
        <v>0.33</v>
      </c>
      <c r="G43">
        <v>50</v>
      </c>
      <c r="H43">
        <v>1000</v>
      </c>
      <c r="L43">
        <v>40</v>
      </c>
      <c r="M43">
        <f>_xlfn.XLOOKUP(L43,'Order Page'!X$27:X$393,'Order Page'!T$27:T$393,0)</f>
        <v>0</v>
      </c>
      <c r="N43">
        <f>_xlfn.XLOOKUP(L43,'Order Page'!X$27:X$393,'Order Page'!R$27:R$393,0)</f>
        <v>0</v>
      </c>
      <c r="O43" t="str">
        <f t="shared" si="45"/>
        <v/>
      </c>
      <c r="P43" t="str">
        <f t="shared" si="46"/>
        <v/>
      </c>
      <c r="Q43" s="263"/>
      <c r="R43">
        <v>40</v>
      </c>
      <c r="S43">
        <f t="shared" si="57"/>
        <v>1</v>
      </c>
      <c r="T43">
        <f t="shared" si="47"/>
        <v>0</v>
      </c>
      <c r="U43">
        <f>_xlfn.XLOOKUP(T43,'Order Page'!X$27:X$393,'Order Page'!U$27:U$393,"")</f>
        <v>0</v>
      </c>
      <c r="W43" t="str">
        <f t="shared" si="48"/>
        <v/>
      </c>
      <c r="X43" t="str">
        <f t="shared" si="49"/>
        <v/>
      </c>
      <c r="Y43" t="str">
        <f>_xlfn.XLOOKUP(T43,'Order Page'!X$27:X$393,'Order Page'!C$27:C$393,"")</f>
        <v>Acorus Calamus</v>
      </c>
      <c r="Z43" s="264"/>
      <c r="AA43">
        <v>40</v>
      </c>
      <c r="AB43" cm="1">
        <f t="array" ref="AB43">VLOOKUP(ROW(40:40),S$4:T$153,2)</f>
        <v>0</v>
      </c>
      <c r="AD43" t="str">
        <f t="shared" si="50"/>
        <v/>
      </c>
      <c r="AE43" t="e">
        <f t="shared" si="25"/>
        <v>#N/A</v>
      </c>
      <c r="AF43" t="str">
        <f t="shared" si="51"/>
        <v/>
      </c>
      <c r="AG43" t="str">
        <f>_xlfn.XLOOKUP(AB43,'Order Page'!X$27:X$393,'Order Page'!C$27:C$393,"")</f>
        <v>Acorus Calamus</v>
      </c>
      <c r="AH43">
        <f t="shared" si="52"/>
        <v>0</v>
      </c>
      <c r="AI43">
        <f t="shared" si="53"/>
        <v>0</v>
      </c>
      <c r="AJ43">
        <f t="shared" si="27"/>
        <v>0</v>
      </c>
      <c r="AK43">
        <f t="shared" si="17"/>
        <v>0</v>
      </c>
      <c r="AL43">
        <f>IF(OR(AD42&amp;AF42&lt;&gt;AD43&amp;AF43,AK43&lt;AK42),AK42,0)+MAX(AL$4:AL42)</f>
        <v>0</v>
      </c>
      <c r="AM43">
        <f t="shared" si="18"/>
        <v>0</v>
      </c>
      <c r="AO43" s="25" t="str">
        <f t="shared" si="19"/>
        <v/>
      </c>
      <c r="AP43" s="25" t="str">
        <f t="shared" si="54"/>
        <v/>
      </c>
      <c r="AQ43" t="str">
        <f t="shared" si="20"/>
        <v/>
      </c>
      <c r="AR43" t="str">
        <f t="shared" si="55"/>
        <v/>
      </c>
      <c r="AS43">
        <f t="shared" si="56"/>
        <v>0</v>
      </c>
      <c r="AT43">
        <f t="shared" si="21"/>
        <v>0</v>
      </c>
      <c r="AU43" t="str">
        <f>_xlfn.XLOOKUP(AB43,'Order Page'!X$24:X$378,'Order Page'!B$24:B$378,0)</f>
        <v>x6</v>
      </c>
      <c r="AV43">
        <f>_xlfn.XLOOKUP(AB43,'Order Page'!X$24:X$378,'Order Page'!O$24:O$378,0)</f>
        <v>38</v>
      </c>
      <c r="AW43" s="264"/>
      <c r="AX43">
        <v>22</v>
      </c>
      <c r="AY43" t="e">
        <f t="shared" si="32"/>
        <v>#N/A</v>
      </c>
      <c r="AZ43" t="e">
        <f t="shared" si="33"/>
        <v>#N/A</v>
      </c>
      <c r="BA43" t="e">
        <f t="shared" si="34"/>
        <v>#N/A</v>
      </c>
      <c r="BB43" t="e">
        <f t="shared" si="35"/>
        <v>#N/A</v>
      </c>
      <c r="BC43" t="e">
        <f>IF(AND(BB$18&lt;1,AZ43&lt;=BC$18),IF(BB$18+BB43+SUMIF(BC$21:BC42,BD$18,BB$21:BB42)&lt;=1,BD$18,0))</f>
        <v>#N/A</v>
      </c>
      <c r="BD43" t="e">
        <f t="shared" si="39"/>
        <v>#N/A</v>
      </c>
      <c r="BE43" t="e">
        <f>IF(AND(BB$19&lt;1,AZ43&lt;=BC$19),IF(BB$19+BD43+SUMIF(BE$21:BE42,BD$19,BD$21:BD42)&lt;=1,BD$19,0))</f>
        <v>#N/A</v>
      </c>
      <c r="BF43" t="e">
        <f t="shared" si="40"/>
        <v>#N/A</v>
      </c>
      <c r="BG43">
        <f t="shared" si="36"/>
        <v>0</v>
      </c>
      <c r="BH43">
        <f t="shared" si="37"/>
        <v>0</v>
      </c>
      <c r="BI43">
        <f t="shared" si="43"/>
        <v>0</v>
      </c>
      <c r="BJ43" t="e">
        <f t="shared" si="41"/>
        <v>#N/A</v>
      </c>
      <c r="BK43" t="e">
        <f>IF(BJ43=0,BK42,IF(ROUNDDOWN(SUM(BJ$22:BJ43),0)=ROUNDDOWN(SUM(BJ$22:BJ42),0),BK42+BJ43,ROUNDDOWN(SUM(BJ$22:BJ43),0)+BJ43))</f>
        <v>#N/A</v>
      </c>
      <c r="BL43" t="e">
        <f t="shared" si="44"/>
        <v>#N/A</v>
      </c>
      <c r="BM43" t="e">
        <f t="shared" si="38"/>
        <v>#N/A</v>
      </c>
      <c r="BN43" t="e">
        <f t="shared" si="42"/>
        <v>#N/A</v>
      </c>
    </row>
    <row r="44" spans="2:66" x14ac:dyDescent="0.25">
      <c r="B44" t="s">
        <v>615</v>
      </c>
      <c r="C44">
        <v>12000</v>
      </c>
      <c r="D44" s="261">
        <v>0.2</v>
      </c>
      <c r="G44">
        <v>55</v>
      </c>
      <c r="H44">
        <v>1200</v>
      </c>
      <c r="L44">
        <v>41</v>
      </c>
      <c r="M44">
        <f>_xlfn.XLOOKUP(L44,'Order Page'!X$27:X$393,'Order Page'!T$27:T$393,0)</f>
        <v>0</v>
      </c>
      <c r="N44">
        <f>_xlfn.XLOOKUP(L44,'Order Page'!X$27:X$393,'Order Page'!R$27:R$393,0)</f>
        <v>0</v>
      </c>
      <c r="O44" t="str">
        <f t="shared" si="45"/>
        <v/>
      </c>
      <c r="P44" t="str">
        <f t="shared" si="46"/>
        <v/>
      </c>
      <c r="Q44" s="263"/>
      <c r="R44">
        <v>41</v>
      </c>
      <c r="S44">
        <f t="shared" si="57"/>
        <v>1</v>
      </c>
      <c r="T44">
        <f t="shared" si="47"/>
        <v>0</v>
      </c>
      <c r="U44">
        <f>_xlfn.XLOOKUP(T44,'Order Page'!X$27:X$393,'Order Page'!U$27:U$393,"")</f>
        <v>0</v>
      </c>
      <c r="W44" t="str">
        <f t="shared" si="48"/>
        <v/>
      </c>
      <c r="X44" t="str">
        <f t="shared" si="49"/>
        <v/>
      </c>
      <c r="Y44" t="str">
        <f>_xlfn.XLOOKUP(T44,'Order Page'!X$27:X$393,'Order Page'!C$27:C$393,"")</f>
        <v>Acorus Calamus</v>
      </c>
      <c r="Z44" s="264"/>
      <c r="AA44">
        <v>41</v>
      </c>
      <c r="AB44" cm="1">
        <f t="array" ref="AB44">VLOOKUP(ROW(41:41),S$4:T$153,2)</f>
        <v>0</v>
      </c>
      <c r="AD44" t="str">
        <f t="shared" si="50"/>
        <v/>
      </c>
      <c r="AE44" t="e">
        <f t="shared" si="25"/>
        <v>#N/A</v>
      </c>
      <c r="AF44" t="str">
        <f t="shared" si="51"/>
        <v/>
      </c>
      <c r="AG44" t="str">
        <f>_xlfn.XLOOKUP(AB44,'Order Page'!X$27:X$393,'Order Page'!C$27:C$393,"")</f>
        <v>Acorus Calamus</v>
      </c>
      <c r="AH44">
        <f t="shared" si="52"/>
        <v>0</v>
      </c>
      <c r="AI44">
        <f t="shared" si="53"/>
        <v>0</v>
      </c>
      <c r="AJ44">
        <f t="shared" si="27"/>
        <v>0</v>
      </c>
      <c r="AK44">
        <f t="shared" si="17"/>
        <v>0</v>
      </c>
      <c r="AL44">
        <f>IF(OR(AD43&amp;AF43&lt;&gt;AD44&amp;AF44,AK44&lt;AK43),AK43,0)+MAX(AL$4:AL43)</f>
        <v>0</v>
      </c>
      <c r="AM44">
        <f t="shared" si="18"/>
        <v>0</v>
      </c>
      <c r="AO44" s="25" t="str">
        <f t="shared" si="19"/>
        <v/>
      </c>
      <c r="AP44" s="25" t="str">
        <f t="shared" si="54"/>
        <v/>
      </c>
      <c r="AQ44" t="str">
        <f t="shared" si="20"/>
        <v/>
      </c>
      <c r="AR44" t="str">
        <f t="shared" si="55"/>
        <v/>
      </c>
      <c r="AS44">
        <f t="shared" si="56"/>
        <v>0</v>
      </c>
      <c r="AT44">
        <f t="shared" si="21"/>
        <v>0</v>
      </c>
      <c r="AU44" t="str">
        <f>_xlfn.XLOOKUP(AB44,'Order Page'!X$24:X$378,'Order Page'!B$24:B$378,0)</f>
        <v>x6</v>
      </c>
      <c r="AV44">
        <f>_xlfn.XLOOKUP(AB44,'Order Page'!X$24:X$378,'Order Page'!O$24:O$378,0)</f>
        <v>38</v>
      </c>
      <c r="AW44" s="264"/>
      <c r="AX44">
        <v>23</v>
      </c>
      <c r="AY44" t="e">
        <f t="shared" si="32"/>
        <v>#N/A</v>
      </c>
      <c r="AZ44" t="e">
        <f t="shared" si="33"/>
        <v>#N/A</v>
      </c>
      <c r="BA44" t="e">
        <f t="shared" si="34"/>
        <v>#N/A</v>
      </c>
      <c r="BB44" t="e">
        <f t="shared" si="35"/>
        <v>#N/A</v>
      </c>
      <c r="BC44" t="e">
        <f>IF(AND(BB$18&lt;1,AZ44&lt;=BC$18),IF(BB$18+BB44+SUMIF(BC$21:BC43,BD$18,BB$21:BB43)&lt;=1,BD$18,0))</f>
        <v>#N/A</v>
      </c>
      <c r="BD44" t="e">
        <f t="shared" si="39"/>
        <v>#N/A</v>
      </c>
      <c r="BE44" t="e">
        <f>IF(AND(BB$19&lt;1,AZ44&lt;=BC$19),IF(BB$19+BD44+SUMIF(BE$21:BE43,BD$19,BD$21:BD43)&lt;=1,BD$19,0))</f>
        <v>#N/A</v>
      </c>
      <c r="BF44" t="e">
        <f t="shared" si="40"/>
        <v>#N/A</v>
      </c>
      <c r="BG44">
        <f t="shared" si="36"/>
        <v>0</v>
      </c>
      <c r="BH44">
        <f t="shared" si="37"/>
        <v>0</v>
      </c>
      <c r="BI44">
        <f t="shared" si="43"/>
        <v>0</v>
      </c>
      <c r="BJ44" t="e">
        <f t="shared" si="41"/>
        <v>#N/A</v>
      </c>
      <c r="BK44" t="e">
        <f>IF(BJ44=0,BK43,IF(ROUNDDOWN(SUM(BJ$22:BJ44),0)=ROUNDDOWN(SUM(BJ$22:BJ43),0),BK43+BJ44,ROUNDDOWN(SUM(BJ$22:BJ44),0)+BJ44))</f>
        <v>#N/A</v>
      </c>
      <c r="BL44" t="e">
        <f t="shared" si="44"/>
        <v>#N/A</v>
      </c>
      <c r="BM44" t="e">
        <f t="shared" si="38"/>
        <v>#N/A</v>
      </c>
      <c r="BN44" t="e">
        <f t="shared" si="42"/>
        <v>#N/A</v>
      </c>
    </row>
    <row r="45" spans="2:66" x14ac:dyDescent="0.25">
      <c r="B45" t="s">
        <v>604</v>
      </c>
      <c r="C45">
        <v>14000</v>
      </c>
      <c r="D45">
        <v>0.16600000000000001</v>
      </c>
      <c r="G45">
        <v>60</v>
      </c>
      <c r="H45">
        <v>1400</v>
      </c>
      <c r="L45">
        <v>42</v>
      </c>
      <c r="M45">
        <f>_xlfn.XLOOKUP(L45,'Order Page'!X$27:X$393,'Order Page'!T$27:T$393,0)</f>
        <v>0</v>
      </c>
      <c r="N45">
        <f>_xlfn.XLOOKUP(L45,'Order Page'!X$27:X$393,'Order Page'!R$27:R$393,0)</f>
        <v>0</v>
      </c>
      <c r="O45" t="str">
        <f t="shared" si="45"/>
        <v/>
      </c>
      <c r="P45" t="str">
        <f t="shared" si="46"/>
        <v/>
      </c>
      <c r="Q45" s="263"/>
      <c r="R45">
        <v>42</v>
      </c>
      <c r="S45">
        <f t="shared" si="57"/>
        <v>1</v>
      </c>
      <c r="T45">
        <f t="shared" si="47"/>
        <v>0</v>
      </c>
      <c r="U45">
        <f>_xlfn.XLOOKUP(T45,'Order Page'!X$27:X$393,'Order Page'!U$27:U$393,"")</f>
        <v>0</v>
      </c>
      <c r="W45" t="str">
        <f t="shared" si="48"/>
        <v/>
      </c>
      <c r="X45" t="str">
        <f t="shared" si="49"/>
        <v/>
      </c>
      <c r="Y45" t="str">
        <f>_xlfn.XLOOKUP(T45,'Order Page'!X$27:X$393,'Order Page'!C$27:C$393,"")</f>
        <v>Acorus Calamus</v>
      </c>
      <c r="Z45" s="264"/>
      <c r="AA45">
        <v>42</v>
      </c>
      <c r="AB45" cm="1">
        <f t="array" ref="AB45">VLOOKUP(ROW(42:42),S$4:T$153,2)</f>
        <v>0</v>
      </c>
      <c r="AD45" t="str">
        <f t="shared" si="50"/>
        <v/>
      </c>
      <c r="AE45" t="e">
        <f t="shared" si="25"/>
        <v>#N/A</v>
      </c>
      <c r="AF45" t="str">
        <f t="shared" si="51"/>
        <v/>
      </c>
      <c r="AG45" t="str">
        <f>_xlfn.XLOOKUP(AB45,'Order Page'!X$27:X$393,'Order Page'!C$27:C$393,"")</f>
        <v>Acorus Calamus</v>
      </c>
      <c r="AH45">
        <f t="shared" si="52"/>
        <v>0</v>
      </c>
      <c r="AI45">
        <f t="shared" si="53"/>
        <v>0</v>
      </c>
      <c r="AJ45">
        <f t="shared" si="27"/>
        <v>0</v>
      </c>
      <c r="AK45">
        <f t="shared" si="17"/>
        <v>0</v>
      </c>
      <c r="AL45">
        <f>IF(OR(AD44&amp;AF44&lt;&gt;AD45&amp;AF45,AK45&lt;AK44),AK44,0)+MAX(AL$4:AL44)</f>
        <v>0</v>
      </c>
      <c r="AM45">
        <f t="shared" si="18"/>
        <v>0</v>
      </c>
      <c r="AO45" s="25" t="str">
        <f t="shared" si="19"/>
        <v/>
      </c>
      <c r="AP45" s="25" t="str">
        <f t="shared" si="54"/>
        <v/>
      </c>
      <c r="AQ45" t="str">
        <f t="shared" si="20"/>
        <v/>
      </c>
      <c r="AR45" t="str">
        <f t="shared" si="55"/>
        <v/>
      </c>
      <c r="AS45">
        <f t="shared" si="56"/>
        <v>0</v>
      </c>
      <c r="AT45">
        <f t="shared" si="21"/>
        <v>0</v>
      </c>
      <c r="AU45" t="str">
        <f>_xlfn.XLOOKUP(AB45,'Order Page'!X$24:X$378,'Order Page'!B$24:B$378,0)</f>
        <v>x6</v>
      </c>
      <c r="AV45">
        <f>_xlfn.XLOOKUP(AB45,'Order Page'!X$24:X$378,'Order Page'!O$24:O$378,0)</f>
        <v>38</v>
      </c>
      <c r="AW45" s="264"/>
      <c r="AX45">
        <v>24</v>
      </c>
      <c r="AY45" t="e">
        <f t="shared" si="32"/>
        <v>#N/A</v>
      </c>
      <c r="AZ45" t="e">
        <f t="shared" si="33"/>
        <v>#N/A</v>
      </c>
      <c r="BA45" t="e">
        <f t="shared" si="34"/>
        <v>#N/A</v>
      </c>
      <c r="BB45" t="e">
        <f t="shared" si="35"/>
        <v>#N/A</v>
      </c>
      <c r="BC45" t="e">
        <f>IF(AND(BB$18&lt;1,AZ45&lt;=BC$18),IF(BB$18+BB45+SUMIF(BC$21:BC44,BD$18,BB$21:BB44)&lt;=1,BD$18,0))</f>
        <v>#N/A</v>
      </c>
      <c r="BD45" t="e">
        <f t="shared" si="39"/>
        <v>#N/A</v>
      </c>
      <c r="BE45" t="e">
        <f>IF(AND(BB$19&lt;1,AZ45&lt;=BC$19),IF(BB$19+BD45+SUMIF(BE$21:BE44,BD$19,BD$21:BD44)&lt;=1,BD$19,0))</f>
        <v>#N/A</v>
      </c>
      <c r="BF45" t="e">
        <f t="shared" si="40"/>
        <v>#N/A</v>
      </c>
      <c r="BG45">
        <f t="shared" si="36"/>
        <v>0</v>
      </c>
      <c r="BH45">
        <f t="shared" si="37"/>
        <v>0</v>
      </c>
      <c r="BI45">
        <f t="shared" si="43"/>
        <v>0</v>
      </c>
      <c r="BJ45" t="e">
        <f t="shared" si="41"/>
        <v>#N/A</v>
      </c>
      <c r="BK45" t="e">
        <f>IF(BJ45=0,BK44,IF(ROUNDDOWN(SUM(BJ$22:BJ45),0)=ROUNDDOWN(SUM(BJ$22:BJ44),0),BK44+BJ45,ROUNDDOWN(SUM(BJ$22:BJ45),0)+BJ45))</f>
        <v>#N/A</v>
      </c>
      <c r="BL45" t="e">
        <f t="shared" si="44"/>
        <v>#N/A</v>
      </c>
      <c r="BM45" t="e">
        <f t="shared" si="38"/>
        <v>#N/A</v>
      </c>
      <c r="BN45" t="e">
        <f t="shared" si="42"/>
        <v>#N/A</v>
      </c>
    </row>
    <row r="46" spans="2:66" x14ac:dyDescent="0.25">
      <c r="B46" t="s">
        <v>617</v>
      </c>
      <c r="C46">
        <v>16000</v>
      </c>
      <c r="L46">
        <v>43</v>
      </c>
      <c r="M46">
        <f>_xlfn.XLOOKUP(L46,'Order Page'!X$27:X$393,'Order Page'!T$27:T$393,0)</f>
        <v>0</v>
      </c>
      <c r="N46">
        <f>_xlfn.XLOOKUP(L46,'Order Page'!X$27:X$393,'Order Page'!R$27:R$393,0)</f>
        <v>0</v>
      </c>
      <c r="O46" t="str">
        <f t="shared" si="45"/>
        <v/>
      </c>
      <c r="P46" t="str">
        <f t="shared" si="46"/>
        <v/>
      </c>
      <c r="Q46" s="263"/>
      <c r="R46">
        <v>43</v>
      </c>
      <c r="S46">
        <f t="shared" si="57"/>
        <v>1</v>
      </c>
      <c r="T46">
        <f t="shared" si="47"/>
        <v>0</v>
      </c>
      <c r="U46">
        <f>_xlfn.XLOOKUP(T46,'Order Page'!X$27:X$393,'Order Page'!U$27:U$393,"")</f>
        <v>0</v>
      </c>
      <c r="W46" t="str">
        <f t="shared" si="48"/>
        <v/>
      </c>
      <c r="X46" t="str">
        <f t="shared" si="49"/>
        <v/>
      </c>
      <c r="Y46" t="str">
        <f>_xlfn.XLOOKUP(T46,'Order Page'!X$27:X$393,'Order Page'!C$27:C$393,"")</f>
        <v>Acorus Calamus</v>
      </c>
      <c r="Z46" s="264"/>
      <c r="AA46">
        <v>43</v>
      </c>
      <c r="AB46" cm="1">
        <f t="array" ref="AB46">VLOOKUP(ROW(43:43),S$4:T$153,2)</f>
        <v>0</v>
      </c>
      <c r="AD46" t="str">
        <f t="shared" si="50"/>
        <v/>
      </c>
      <c r="AE46" t="e">
        <f t="shared" si="25"/>
        <v>#N/A</v>
      </c>
      <c r="AF46" t="str">
        <f t="shared" si="51"/>
        <v/>
      </c>
      <c r="AG46" t="str">
        <f>_xlfn.XLOOKUP(AB46,'Order Page'!X$27:X$393,'Order Page'!C$27:C$393,"")</f>
        <v>Acorus Calamus</v>
      </c>
      <c r="AH46">
        <f t="shared" si="52"/>
        <v>0</v>
      </c>
      <c r="AI46">
        <f t="shared" si="53"/>
        <v>0</v>
      </c>
      <c r="AJ46">
        <f t="shared" si="27"/>
        <v>0</v>
      </c>
      <c r="AK46">
        <f t="shared" si="17"/>
        <v>0</v>
      </c>
      <c r="AL46">
        <f>IF(OR(AD45&amp;AF45&lt;&gt;AD46&amp;AF46,AK46&lt;AK45),AK45,0)+MAX(AL$4:AL45)</f>
        <v>0</v>
      </c>
      <c r="AM46">
        <f t="shared" si="18"/>
        <v>0</v>
      </c>
      <c r="AO46" s="25" t="str">
        <f t="shared" si="19"/>
        <v/>
      </c>
      <c r="AP46" s="25" t="str">
        <f t="shared" si="54"/>
        <v/>
      </c>
      <c r="AQ46" t="str">
        <f t="shared" si="20"/>
        <v/>
      </c>
      <c r="AR46" t="str">
        <f t="shared" si="55"/>
        <v/>
      </c>
      <c r="AS46">
        <f t="shared" si="56"/>
        <v>0</v>
      </c>
      <c r="AT46">
        <f t="shared" si="21"/>
        <v>0</v>
      </c>
      <c r="AU46" t="str">
        <f>_xlfn.XLOOKUP(AB46,'Order Page'!X$24:X$378,'Order Page'!B$24:B$378,0)</f>
        <v>x6</v>
      </c>
      <c r="AV46">
        <f>_xlfn.XLOOKUP(AB46,'Order Page'!X$24:X$378,'Order Page'!O$24:O$378,0)</f>
        <v>38</v>
      </c>
      <c r="AW46" s="264"/>
      <c r="AX46">
        <v>25</v>
      </c>
      <c r="AY46" t="e">
        <f t="shared" si="32"/>
        <v>#N/A</v>
      </c>
      <c r="AZ46" t="e">
        <f t="shared" si="33"/>
        <v>#N/A</v>
      </c>
      <c r="BA46" t="e">
        <f t="shared" si="34"/>
        <v>#N/A</v>
      </c>
      <c r="BB46" t="e">
        <f t="shared" si="35"/>
        <v>#N/A</v>
      </c>
      <c r="BC46" t="e">
        <f>IF(AND(BB$18&lt;1,AZ46&lt;=BC$18),IF(BB$18+BB46+SUMIF(BC$21:BC45,BD$18,BB$21:BB45)&lt;=1,BD$18,0))</f>
        <v>#N/A</v>
      </c>
      <c r="BD46" t="e">
        <f t="shared" si="39"/>
        <v>#N/A</v>
      </c>
      <c r="BE46" t="e">
        <f>IF(AND(BB$19&lt;1,AZ46&lt;=BC$19),IF(BB$19+BD46+SUMIF(BE$21:BE45,BD$19,BD$21:BD45)&lt;=1,BD$19,0))</f>
        <v>#N/A</v>
      </c>
      <c r="BF46" t="e">
        <f t="shared" si="40"/>
        <v>#N/A</v>
      </c>
      <c r="BG46">
        <f t="shared" si="36"/>
        <v>0</v>
      </c>
      <c r="BH46">
        <f t="shared" si="37"/>
        <v>0</v>
      </c>
      <c r="BI46">
        <f t="shared" si="43"/>
        <v>0</v>
      </c>
      <c r="BJ46" t="e">
        <f t="shared" si="41"/>
        <v>#N/A</v>
      </c>
      <c r="BK46" t="e">
        <f>IF(BJ46=0,BK45,IF(ROUNDDOWN(SUM(BJ$22:BJ46),0)=ROUNDDOWN(SUM(BJ$22:BJ45),0),BK45+BJ46,ROUNDDOWN(SUM(BJ$22:BJ46),0)+BJ46))</f>
        <v>#N/A</v>
      </c>
      <c r="BL46" t="e">
        <f t="shared" si="44"/>
        <v>#N/A</v>
      </c>
      <c r="BM46" t="e">
        <f t="shared" si="38"/>
        <v>#N/A</v>
      </c>
      <c r="BN46" t="e">
        <f t="shared" si="42"/>
        <v>#N/A</v>
      </c>
    </row>
    <row r="47" spans="2:66" x14ac:dyDescent="0.25">
      <c r="L47">
        <v>44</v>
      </c>
      <c r="M47">
        <f>_xlfn.XLOOKUP(L47,'Order Page'!X$27:X$393,'Order Page'!T$27:T$393,0)</f>
        <v>0</v>
      </c>
      <c r="N47">
        <f>_xlfn.XLOOKUP(L47,'Order Page'!X$27:X$393,'Order Page'!R$27:R$393,0)</f>
        <v>0</v>
      </c>
      <c r="O47" t="str">
        <f t="shared" si="45"/>
        <v/>
      </c>
      <c r="P47" t="str">
        <f t="shared" si="46"/>
        <v/>
      </c>
      <c r="Q47" s="263"/>
      <c r="R47">
        <v>44</v>
      </c>
      <c r="S47">
        <f t="shared" si="57"/>
        <v>1</v>
      </c>
      <c r="T47">
        <f t="shared" si="47"/>
        <v>0</v>
      </c>
      <c r="U47">
        <f>_xlfn.XLOOKUP(T47,'Order Page'!X$27:X$393,'Order Page'!U$27:U$393,"")</f>
        <v>0</v>
      </c>
      <c r="W47" t="str">
        <f t="shared" si="48"/>
        <v/>
      </c>
      <c r="X47" t="str">
        <f t="shared" si="49"/>
        <v/>
      </c>
      <c r="Y47" t="str">
        <f>_xlfn.XLOOKUP(T47,'Order Page'!X$27:X$393,'Order Page'!C$27:C$393,"")</f>
        <v>Acorus Calamus</v>
      </c>
      <c r="Z47" s="264"/>
      <c r="AA47">
        <v>44</v>
      </c>
      <c r="AB47" cm="1">
        <f t="array" ref="AB47">VLOOKUP(ROW(44:44),S$4:T$153,2)</f>
        <v>0</v>
      </c>
      <c r="AD47" t="str">
        <f t="shared" si="50"/>
        <v/>
      </c>
      <c r="AE47" t="e">
        <f t="shared" si="25"/>
        <v>#N/A</v>
      </c>
      <c r="AF47" t="str">
        <f t="shared" si="51"/>
        <v/>
      </c>
      <c r="AG47" t="str">
        <f>_xlfn.XLOOKUP(AB47,'Order Page'!X$27:X$393,'Order Page'!C$27:C$393,"")</f>
        <v>Acorus Calamus</v>
      </c>
      <c r="AH47">
        <f t="shared" si="52"/>
        <v>0</v>
      </c>
      <c r="AI47">
        <f t="shared" si="53"/>
        <v>0</v>
      </c>
      <c r="AJ47">
        <f t="shared" si="27"/>
        <v>0</v>
      </c>
      <c r="AK47">
        <f t="shared" si="17"/>
        <v>0</v>
      </c>
      <c r="AL47">
        <f>IF(OR(AD46&amp;AF46&lt;&gt;AD47&amp;AF47,AK47&lt;AK46),AK46,0)+MAX(AL$4:AL46)</f>
        <v>0</v>
      </c>
      <c r="AM47">
        <f t="shared" si="18"/>
        <v>0</v>
      </c>
      <c r="AO47" s="25" t="str">
        <f t="shared" si="19"/>
        <v/>
      </c>
      <c r="AP47" s="25" t="str">
        <f t="shared" si="54"/>
        <v/>
      </c>
      <c r="AQ47" t="str">
        <f t="shared" si="20"/>
        <v/>
      </c>
      <c r="AR47" t="str">
        <f t="shared" si="55"/>
        <v/>
      </c>
      <c r="AS47">
        <f t="shared" si="56"/>
        <v>0</v>
      </c>
      <c r="AT47">
        <f t="shared" si="21"/>
        <v>0</v>
      </c>
      <c r="AU47" t="str">
        <f>_xlfn.XLOOKUP(AB47,'Order Page'!X$24:X$378,'Order Page'!B$24:B$378,0)</f>
        <v>x6</v>
      </c>
      <c r="AV47">
        <f>_xlfn.XLOOKUP(AB47,'Order Page'!X$24:X$378,'Order Page'!O$24:O$378,0)</f>
        <v>38</v>
      </c>
      <c r="AW47" s="264"/>
      <c r="AX47">
        <v>26</v>
      </c>
      <c r="AY47" t="e">
        <f t="shared" si="32"/>
        <v>#N/A</v>
      </c>
      <c r="AZ47" t="e">
        <f t="shared" si="33"/>
        <v>#N/A</v>
      </c>
      <c r="BA47" t="e">
        <f t="shared" si="34"/>
        <v>#N/A</v>
      </c>
      <c r="BB47" t="e">
        <f t="shared" si="35"/>
        <v>#N/A</v>
      </c>
      <c r="BC47" t="e">
        <f>IF(AND(BB$18&lt;1,AZ47&lt;=BC$18),IF(BB$18+BB47+SUMIF(BC$21:BC46,BD$18,BB$21:BB46)&lt;=1,BD$18,0))</f>
        <v>#N/A</v>
      </c>
      <c r="BD47" t="e">
        <f t="shared" si="39"/>
        <v>#N/A</v>
      </c>
      <c r="BE47" t="e">
        <f>IF(AND(BB$19&lt;1,AZ47&lt;=BC$19),IF(BB$19+BD47+SUMIF(BE$21:BE46,BD$19,BD$21:BD46)&lt;=1,BD$19,0))</f>
        <v>#N/A</v>
      </c>
      <c r="BF47" t="e">
        <f t="shared" si="40"/>
        <v>#N/A</v>
      </c>
      <c r="BG47">
        <f t="shared" si="36"/>
        <v>0</v>
      </c>
      <c r="BH47">
        <f t="shared" si="37"/>
        <v>0</v>
      </c>
      <c r="BI47">
        <f t="shared" si="43"/>
        <v>0</v>
      </c>
      <c r="BJ47" t="e">
        <f t="shared" si="41"/>
        <v>#N/A</v>
      </c>
      <c r="BK47" t="e">
        <f>IF(BJ47=0,BK46,IF(ROUNDDOWN(SUM(BJ$22:BJ47),0)=ROUNDDOWN(SUM(BJ$22:BJ46),0),BK46+BJ47,ROUNDDOWN(SUM(BJ$22:BJ47),0)+BJ47))</f>
        <v>#N/A</v>
      </c>
      <c r="BL47" t="e">
        <f t="shared" si="44"/>
        <v>#N/A</v>
      </c>
      <c r="BM47" t="e">
        <f t="shared" si="38"/>
        <v>#N/A</v>
      </c>
      <c r="BN47" t="e">
        <f t="shared" si="42"/>
        <v>#N/A</v>
      </c>
    </row>
    <row r="48" spans="2:66" x14ac:dyDescent="0.25">
      <c r="L48">
        <v>45</v>
      </c>
      <c r="M48">
        <f>_xlfn.XLOOKUP(L48,'Order Page'!X$27:X$393,'Order Page'!T$27:T$393,0)</f>
        <v>0</v>
      </c>
      <c r="N48">
        <f>_xlfn.XLOOKUP(L48,'Order Page'!X$27:X$393,'Order Page'!R$27:R$393,0)</f>
        <v>0</v>
      </c>
      <c r="O48" t="str">
        <f t="shared" si="45"/>
        <v/>
      </c>
      <c r="P48" t="str">
        <f t="shared" si="46"/>
        <v/>
      </c>
      <c r="Q48" s="263"/>
      <c r="R48">
        <v>45</v>
      </c>
      <c r="S48">
        <f t="shared" si="57"/>
        <v>1</v>
      </c>
      <c r="T48">
        <f t="shared" si="47"/>
        <v>0</v>
      </c>
      <c r="U48">
        <f>_xlfn.XLOOKUP(T48,'Order Page'!X$27:X$393,'Order Page'!U$27:U$393,"")</f>
        <v>0</v>
      </c>
      <c r="W48" t="str">
        <f t="shared" si="48"/>
        <v/>
      </c>
      <c r="X48" t="str">
        <f t="shared" si="49"/>
        <v/>
      </c>
      <c r="Y48" t="str">
        <f>_xlfn.XLOOKUP(T48,'Order Page'!X$27:X$393,'Order Page'!C$27:C$393,"")</f>
        <v>Acorus Calamus</v>
      </c>
      <c r="Z48" s="264"/>
      <c r="AA48">
        <v>45</v>
      </c>
      <c r="AB48" cm="1">
        <f t="array" ref="AB48">VLOOKUP(ROW(45:45),S$4:T$153,2)</f>
        <v>0</v>
      </c>
      <c r="AD48" t="str">
        <f t="shared" si="50"/>
        <v/>
      </c>
      <c r="AE48" t="e">
        <f t="shared" si="25"/>
        <v>#N/A</v>
      </c>
      <c r="AF48" t="str">
        <f t="shared" si="51"/>
        <v/>
      </c>
      <c r="AG48" t="str">
        <f>_xlfn.XLOOKUP(AB48,'Order Page'!X$27:X$393,'Order Page'!C$27:C$393,"")</f>
        <v>Acorus Calamus</v>
      </c>
      <c r="AH48">
        <f t="shared" si="52"/>
        <v>0</v>
      </c>
      <c r="AI48">
        <f t="shared" si="53"/>
        <v>0</v>
      </c>
      <c r="AJ48">
        <f t="shared" si="27"/>
        <v>0</v>
      </c>
      <c r="AK48">
        <f t="shared" si="17"/>
        <v>0</v>
      </c>
      <c r="AL48">
        <f>IF(OR(AD47&amp;AF47&lt;&gt;AD48&amp;AF48,AK48&lt;AK47),AK47,0)+MAX(AL$4:AL47)</f>
        <v>0</v>
      </c>
      <c r="AM48">
        <f t="shared" si="18"/>
        <v>0</v>
      </c>
      <c r="AO48" s="25" t="str">
        <f t="shared" si="19"/>
        <v/>
      </c>
      <c r="AP48" s="25" t="str">
        <f t="shared" si="54"/>
        <v/>
      </c>
      <c r="AQ48" t="str">
        <f t="shared" si="20"/>
        <v/>
      </c>
      <c r="AR48" t="str">
        <f t="shared" si="55"/>
        <v/>
      </c>
      <c r="AS48">
        <f t="shared" si="56"/>
        <v>0</v>
      </c>
      <c r="AT48">
        <f t="shared" si="21"/>
        <v>0</v>
      </c>
      <c r="AU48" t="str">
        <f>_xlfn.XLOOKUP(AB48,'Order Page'!X$24:X$378,'Order Page'!B$24:B$378,0)</f>
        <v>x6</v>
      </c>
      <c r="AV48">
        <f>_xlfn.XLOOKUP(AB48,'Order Page'!X$24:X$378,'Order Page'!O$24:O$378,0)</f>
        <v>38</v>
      </c>
      <c r="AW48" s="264"/>
      <c r="AX48">
        <v>27</v>
      </c>
      <c r="AY48" t="e">
        <f t="shared" si="32"/>
        <v>#N/A</v>
      </c>
      <c r="AZ48" t="e">
        <f t="shared" si="33"/>
        <v>#N/A</v>
      </c>
      <c r="BA48" t="e">
        <f t="shared" si="34"/>
        <v>#N/A</v>
      </c>
      <c r="BB48" t="e">
        <f t="shared" si="35"/>
        <v>#N/A</v>
      </c>
      <c r="BC48" t="e">
        <f>IF(AND(BB$18&lt;1,AZ48&lt;=BC$18),IF(BB$18+BB48+SUMIF(BC$21:BC47,BD$18,BB$21:BB47)&lt;=1,BD$18,0))</f>
        <v>#N/A</v>
      </c>
      <c r="BD48" t="e">
        <f t="shared" si="39"/>
        <v>#N/A</v>
      </c>
      <c r="BE48" t="e">
        <f>IF(AND(BB$19&lt;1,AZ48&lt;=BC$19),IF(BB$19+BD48+SUMIF(BE$21:BE47,BD$19,BD$21:BD47)&lt;=1,BD$19,0))</f>
        <v>#N/A</v>
      </c>
      <c r="BF48" t="e">
        <f t="shared" si="40"/>
        <v>#N/A</v>
      </c>
      <c r="BG48">
        <f t="shared" si="36"/>
        <v>0</v>
      </c>
      <c r="BH48">
        <f t="shared" si="37"/>
        <v>0</v>
      </c>
      <c r="BI48">
        <f t="shared" si="43"/>
        <v>0</v>
      </c>
      <c r="BJ48" t="e">
        <f t="shared" si="41"/>
        <v>#N/A</v>
      </c>
      <c r="BK48" t="e">
        <f>IF(BJ48=0,BK47,IF(ROUNDDOWN(SUM(BJ$22:BJ48),0)=ROUNDDOWN(SUM(BJ$22:BJ47),0),BK47+BJ48,ROUNDDOWN(SUM(BJ$22:BJ48),0)+BJ48))</f>
        <v>#N/A</v>
      </c>
      <c r="BL48" t="e">
        <f t="shared" si="44"/>
        <v>#N/A</v>
      </c>
      <c r="BM48" t="e">
        <f t="shared" si="38"/>
        <v>#N/A</v>
      </c>
      <c r="BN48" t="e">
        <f t="shared" si="42"/>
        <v>#N/A</v>
      </c>
    </row>
    <row r="49" spans="1:66" x14ac:dyDescent="0.25">
      <c r="C49" t="s">
        <v>694</v>
      </c>
      <c r="I49" t="s">
        <v>695</v>
      </c>
      <c r="L49">
        <v>46</v>
      </c>
      <c r="M49">
        <f>_xlfn.XLOOKUP(L49,'Order Page'!X$27:X$393,'Order Page'!T$27:T$393,0)</f>
        <v>0</v>
      </c>
      <c r="N49">
        <f>_xlfn.XLOOKUP(L49,'Order Page'!X$27:X$393,'Order Page'!R$27:R$393,0)</f>
        <v>0</v>
      </c>
      <c r="O49" t="str">
        <f t="shared" si="45"/>
        <v/>
      </c>
      <c r="P49" t="str">
        <f t="shared" si="46"/>
        <v/>
      </c>
      <c r="Q49" s="263"/>
      <c r="R49">
        <v>46</v>
      </c>
      <c r="S49">
        <f t="shared" si="57"/>
        <v>1</v>
      </c>
      <c r="T49">
        <f t="shared" si="47"/>
        <v>0</v>
      </c>
      <c r="U49">
        <f>_xlfn.XLOOKUP(T49,'Order Page'!X$27:X$393,'Order Page'!U$27:U$393,"")</f>
        <v>0</v>
      </c>
      <c r="W49" t="str">
        <f t="shared" si="48"/>
        <v/>
      </c>
      <c r="X49" t="str">
        <f t="shared" si="49"/>
        <v/>
      </c>
      <c r="Y49" t="str">
        <f>_xlfn.XLOOKUP(T49,'Order Page'!X$27:X$393,'Order Page'!C$27:C$393,"")</f>
        <v>Acorus Calamus</v>
      </c>
      <c r="Z49" s="264"/>
      <c r="AA49">
        <v>46</v>
      </c>
      <c r="AB49" cm="1">
        <f t="array" ref="AB49">VLOOKUP(ROW(46:46),S$4:T$153,2)</f>
        <v>0</v>
      </c>
      <c r="AD49" t="str">
        <f t="shared" si="50"/>
        <v/>
      </c>
      <c r="AE49" t="e">
        <f t="shared" si="25"/>
        <v>#N/A</v>
      </c>
      <c r="AF49" t="str">
        <f t="shared" si="51"/>
        <v/>
      </c>
      <c r="AG49" t="str">
        <f>_xlfn.XLOOKUP(AB49,'Order Page'!X$27:X$393,'Order Page'!C$27:C$393,"")</f>
        <v>Acorus Calamus</v>
      </c>
      <c r="AH49">
        <f t="shared" si="52"/>
        <v>0</v>
      </c>
      <c r="AI49">
        <f t="shared" si="53"/>
        <v>0</v>
      </c>
      <c r="AJ49">
        <f t="shared" si="27"/>
        <v>0</v>
      </c>
      <c r="AK49">
        <f t="shared" si="17"/>
        <v>0</v>
      </c>
      <c r="AL49">
        <f>IF(OR(AD48&amp;AF48&lt;&gt;AD49&amp;AF49,AK49&lt;AK48),AK48,0)+MAX(AL$4:AL48)</f>
        <v>0</v>
      </c>
      <c r="AM49">
        <f t="shared" si="18"/>
        <v>0</v>
      </c>
      <c r="AO49" s="25" t="str">
        <f t="shared" si="19"/>
        <v/>
      </c>
      <c r="AP49" s="25" t="str">
        <f t="shared" si="54"/>
        <v/>
      </c>
      <c r="AQ49" t="str">
        <f t="shared" si="20"/>
        <v/>
      </c>
      <c r="AR49" t="str">
        <f t="shared" si="55"/>
        <v/>
      </c>
      <c r="AS49">
        <f t="shared" si="56"/>
        <v>0</v>
      </c>
      <c r="AT49">
        <f t="shared" si="21"/>
        <v>0</v>
      </c>
      <c r="AU49" t="str">
        <f>_xlfn.XLOOKUP(AB49,'Order Page'!X$24:X$378,'Order Page'!B$24:B$378,0)</f>
        <v>x6</v>
      </c>
      <c r="AV49">
        <f>_xlfn.XLOOKUP(AB49,'Order Page'!X$24:X$378,'Order Page'!O$24:O$378,0)</f>
        <v>38</v>
      </c>
      <c r="AW49" s="264"/>
      <c r="AX49">
        <v>28</v>
      </c>
      <c r="AY49" t="e">
        <f t="shared" si="32"/>
        <v>#N/A</v>
      </c>
      <c r="AZ49" t="e">
        <f t="shared" si="33"/>
        <v>#N/A</v>
      </c>
      <c r="BA49" t="e">
        <f t="shared" si="34"/>
        <v>#N/A</v>
      </c>
      <c r="BB49" t="e">
        <f t="shared" si="35"/>
        <v>#N/A</v>
      </c>
      <c r="BC49" t="e">
        <f>IF(AND(BB$18&lt;1,AZ49&lt;=BC$18),IF(BB$18+BB49+SUMIF(BC$21:BC48,BD$18,BB$21:BB48)&lt;=1,BD$18,0))</f>
        <v>#N/A</v>
      </c>
      <c r="BD49" t="e">
        <f t="shared" si="39"/>
        <v>#N/A</v>
      </c>
      <c r="BE49" t="e">
        <f>IF(AND(BB$19&lt;1,AZ49&lt;=BC$19),IF(BB$19+BD49+SUMIF(BE$21:BE48,BD$19,BD$21:BD48)&lt;=1,BD$19,0))</f>
        <v>#N/A</v>
      </c>
      <c r="BF49" t="e">
        <f t="shared" si="40"/>
        <v>#N/A</v>
      </c>
      <c r="BG49">
        <f t="shared" si="36"/>
        <v>0</v>
      </c>
      <c r="BH49">
        <f t="shared" si="37"/>
        <v>0</v>
      </c>
      <c r="BI49">
        <f t="shared" si="43"/>
        <v>0</v>
      </c>
      <c r="BJ49" t="e">
        <f t="shared" si="41"/>
        <v>#N/A</v>
      </c>
      <c r="BK49" t="e">
        <f>IF(BJ49=0,BK48,IF(ROUNDDOWN(SUM(BJ$22:BJ49),0)=ROUNDDOWN(SUM(BJ$22:BJ48),0),BK48+BJ49,ROUNDDOWN(SUM(BJ$22:BJ49),0)+BJ49))</f>
        <v>#N/A</v>
      </c>
      <c r="BL49" t="e">
        <f t="shared" si="44"/>
        <v>#N/A</v>
      </c>
      <c r="BM49" t="e">
        <f t="shared" si="38"/>
        <v>#N/A</v>
      </c>
      <c r="BN49" t="e">
        <f t="shared" si="42"/>
        <v>#N/A</v>
      </c>
    </row>
    <row r="50" spans="1:66" x14ac:dyDescent="0.25">
      <c r="B50">
        <v>60</v>
      </c>
      <c r="C50">
        <f>COUNTIFS(C$61:C$80,B50,D$61:D$80,"&lt;="&amp;G$50)</f>
        <v>0</v>
      </c>
      <c r="D50">
        <f>COUNTIF(C$61:C$80,B50)</f>
        <v>0</v>
      </c>
      <c r="F50" s="21" t="s">
        <v>682</v>
      </c>
      <c r="G50">
        <v>40</v>
      </c>
      <c r="I50">
        <f>LARGE(C61:C80,1)+G51</f>
        <v>175</v>
      </c>
      <c r="L50">
        <v>47</v>
      </c>
      <c r="M50">
        <f>_xlfn.XLOOKUP(L50,'Order Page'!X$27:X$393,'Order Page'!T$27:T$393,0)</f>
        <v>0</v>
      </c>
      <c r="N50">
        <f>_xlfn.XLOOKUP(L50,'Order Page'!X$27:X$393,'Order Page'!R$27:R$393,0)</f>
        <v>0</v>
      </c>
      <c r="O50" t="str">
        <f t="shared" si="45"/>
        <v/>
      </c>
      <c r="P50" t="str">
        <f t="shared" si="46"/>
        <v/>
      </c>
      <c r="Q50" s="263"/>
      <c r="R50">
        <v>47</v>
      </c>
      <c r="S50">
        <f t="shared" si="57"/>
        <v>1</v>
      </c>
      <c r="T50">
        <f t="shared" si="47"/>
        <v>0</v>
      </c>
      <c r="U50">
        <f>_xlfn.XLOOKUP(T50,'Order Page'!X$27:X$393,'Order Page'!U$27:U$393,"")</f>
        <v>0</v>
      </c>
      <c r="W50" t="str">
        <f t="shared" si="48"/>
        <v/>
      </c>
      <c r="X50" t="str">
        <f t="shared" si="49"/>
        <v/>
      </c>
      <c r="Y50" t="str">
        <f>_xlfn.XLOOKUP(T50,'Order Page'!X$27:X$393,'Order Page'!C$27:C$393,"")</f>
        <v>Acorus Calamus</v>
      </c>
      <c r="Z50" s="264"/>
      <c r="AA50">
        <v>47</v>
      </c>
      <c r="AB50" cm="1">
        <f t="array" ref="AB50">VLOOKUP(ROW(47:47),S$4:T$153,2)</f>
        <v>0</v>
      </c>
      <c r="AD50" t="str">
        <f t="shared" si="50"/>
        <v/>
      </c>
      <c r="AE50" t="e">
        <f t="shared" si="25"/>
        <v>#N/A</v>
      </c>
      <c r="AF50" t="str">
        <f t="shared" si="51"/>
        <v/>
      </c>
      <c r="AG50" t="str">
        <f>_xlfn.XLOOKUP(AB50,'Order Page'!X$27:X$393,'Order Page'!C$27:C$393,"")</f>
        <v>Acorus Calamus</v>
      </c>
      <c r="AH50">
        <f t="shared" si="52"/>
        <v>0</v>
      </c>
      <c r="AI50">
        <f t="shared" si="53"/>
        <v>0</v>
      </c>
      <c r="AJ50">
        <f t="shared" si="27"/>
        <v>0</v>
      </c>
      <c r="AK50">
        <f t="shared" si="17"/>
        <v>0</v>
      </c>
      <c r="AL50">
        <f>IF(OR(AD49&amp;AF49&lt;&gt;AD50&amp;AF50,AK50&lt;AK49),AK49,0)+MAX(AL$4:AL49)</f>
        <v>0</v>
      </c>
      <c r="AM50">
        <f t="shared" si="18"/>
        <v>0</v>
      </c>
      <c r="AO50" s="25" t="str">
        <f t="shared" si="19"/>
        <v/>
      </c>
      <c r="AP50" s="25" t="str">
        <f t="shared" si="54"/>
        <v/>
      </c>
      <c r="AQ50" t="str">
        <f t="shared" si="20"/>
        <v/>
      </c>
      <c r="AR50" t="str">
        <f t="shared" si="55"/>
        <v/>
      </c>
      <c r="AS50">
        <f t="shared" si="56"/>
        <v>0</v>
      </c>
      <c r="AT50">
        <f t="shared" si="21"/>
        <v>0</v>
      </c>
      <c r="AU50" t="str">
        <f>_xlfn.XLOOKUP(AB50,'Order Page'!X$24:X$378,'Order Page'!B$24:B$378,0)</f>
        <v>x6</v>
      </c>
      <c r="AV50">
        <f>_xlfn.XLOOKUP(AB50,'Order Page'!X$24:X$378,'Order Page'!O$24:O$378,0)</f>
        <v>38</v>
      </c>
      <c r="AW50" s="264"/>
      <c r="AX50">
        <v>29</v>
      </c>
      <c r="AY50" t="e">
        <f t="shared" si="32"/>
        <v>#N/A</v>
      </c>
      <c r="AZ50" t="e">
        <f t="shared" si="33"/>
        <v>#N/A</v>
      </c>
      <c r="BA50" t="e">
        <f t="shared" si="34"/>
        <v>#N/A</v>
      </c>
      <c r="BB50" t="e">
        <f t="shared" si="35"/>
        <v>#N/A</v>
      </c>
      <c r="BC50" t="e">
        <f>IF(AND(BB$18&lt;1,AZ50&lt;=BC$18),IF(BB$18+BB50+SUMIF(BC$21:BC49,BD$18,BB$21:BB49)&lt;=1,BD$18,0))</f>
        <v>#N/A</v>
      </c>
      <c r="BD50" t="e">
        <f t="shared" si="39"/>
        <v>#N/A</v>
      </c>
      <c r="BE50" t="e">
        <f>IF(AND(BB$19&lt;1,AZ50&lt;=BC$19),IF(BB$19+BD50+SUMIF(BE$21:BE49,BD$19,BD$21:BD49)&lt;=1,BD$19,0))</f>
        <v>#N/A</v>
      </c>
      <c r="BF50" t="e">
        <f t="shared" si="40"/>
        <v>#N/A</v>
      </c>
      <c r="BG50">
        <f t="shared" si="36"/>
        <v>0</v>
      </c>
      <c r="BH50">
        <f t="shared" si="37"/>
        <v>0</v>
      </c>
      <c r="BI50">
        <f t="shared" si="43"/>
        <v>0</v>
      </c>
      <c r="BJ50" t="e">
        <f t="shared" si="41"/>
        <v>#N/A</v>
      </c>
      <c r="BK50" t="e">
        <f>IF(BJ50=0,BK49,IF(ROUNDDOWN(SUM(BJ$22:BJ50),0)=ROUNDDOWN(SUM(BJ$22:BJ49),0),BK49+BJ50,ROUNDDOWN(SUM(BJ$22:BJ50),0)+BJ50))</f>
        <v>#N/A</v>
      </c>
      <c r="BL50" t="e">
        <f t="shared" si="44"/>
        <v>#N/A</v>
      </c>
      <c r="BM50" t="e">
        <f t="shared" si="38"/>
        <v>#N/A</v>
      </c>
      <c r="BN50" t="e">
        <f t="shared" si="42"/>
        <v>#N/A</v>
      </c>
    </row>
    <row r="51" spans="1:66" x14ac:dyDescent="0.25">
      <c r="B51">
        <v>55</v>
      </c>
      <c r="C51">
        <f>COUNTIFS(C$61:C$80,B51,D$61:D$80,"&lt;="&amp;G$50)</f>
        <v>0</v>
      </c>
      <c r="D51">
        <f t="shared" ref="D51:D57" si="58">COUNTIF(C$61:C$80,B51)</f>
        <v>0</v>
      </c>
      <c r="F51" s="21" t="s">
        <v>688</v>
      </c>
      <c r="G51">
        <f>'Nursery Sheet'!A1+15</f>
        <v>175</v>
      </c>
      <c r="I51">
        <f>LARGE(C61:C80,2)+G51+I50</f>
        <v>350</v>
      </c>
      <c r="L51">
        <v>48</v>
      </c>
      <c r="M51">
        <f>_xlfn.XLOOKUP(L51,'Order Page'!X$27:X$393,'Order Page'!T$27:T$393,0)</f>
        <v>0</v>
      </c>
      <c r="N51">
        <f>_xlfn.XLOOKUP(L51,'Order Page'!X$27:X$393,'Order Page'!R$27:R$393,0)</f>
        <v>0</v>
      </c>
      <c r="O51" t="str">
        <f t="shared" si="45"/>
        <v/>
      </c>
      <c r="P51" t="str">
        <f t="shared" si="46"/>
        <v/>
      </c>
      <c r="Q51" s="263"/>
      <c r="R51">
        <v>48</v>
      </c>
      <c r="S51">
        <f t="shared" si="57"/>
        <v>1</v>
      </c>
      <c r="T51">
        <f t="shared" si="47"/>
        <v>0</v>
      </c>
      <c r="U51">
        <f>_xlfn.XLOOKUP(T51,'Order Page'!X$27:X$393,'Order Page'!U$27:U$393,"")</f>
        <v>0</v>
      </c>
      <c r="W51" t="str">
        <f t="shared" si="48"/>
        <v/>
      </c>
      <c r="X51" t="str">
        <f t="shared" si="49"/>
        <v/>
      </c>
      <c r="Y51" t="str">
        <f>_xlfn.XLOOKUP(T51,'Order Page'!X$27:X$393,'Order Page'!C$27:C$393,"")</f>
        <v>Acorus Calamus</v>
      </c>
      <c r="Z51" s="264"/>
      <c r="AA51">
        <v>48</v>
      </c>
      <c r="AB51" cm="1">
        <f t="array" ref="AB51">VLOOKUP(ROW(48:48),S$4:T$153,2)</f>
        <v>0</v>
      </c>
      <c r="AD51" t="str">
        <f t="shared" si="50"/>
        <v/>
      </c>
      <c r="AE51" t="e">
        <f t="shared" si="25"/>
        <v>#N/A</v>
      </c>
      <c r="AF51" t="str">
        <f t="shared" si="51"/>
        <v/>
      </c>
      <c r="AG51" t="str">
        <f>_xlfn.XLOOKUP(AB51,'Order Page'!X$27:X$393,'Order Page'!C$27:C$393,"")</f>
        <v>Acorus Calamus</v>
      </c>
      <c r="AH51">
        <f t="shared" si="52"/>
        <v>0</v>
      </c>
      <c r="AI51">
        <f t="shared" si="53"/>
        <v>0</v>
      </c>
      <c r="AJ51">
        <f t="shared" si="27"/>
        <v>0</v>
      </c>
      <c r="AK51">
        <f t="shared" si="17"/>
        <v>0</v>
      </c>
      <c r="AL51">
        <f>IF(OR(AD50&amp;AF50&lt;&gt;AD51&amp;AF51,AK51&lt;AK50),AK50,0)+MAX(AL$4:AL50)</f>
        <v>0</v>
      </c>
      <c r="AM51">
        <f t="shared" si="18"/>
        <v>0</v>
      </c>
      <c r="AO51" s="25" t="str">
        <f t="shared" si="19"/>
        <v/>
      </c>
      <c r="AP51" s="25" t="str">
        <f t="shared" si="54"/>
        <v/>
      </c>
      <c r="AQ51" t="str">
        <f t="shared" si="20"/>
        <v/>
      </c>
      <c r="AR51" t="str">
        <f t="shared" si="55"/>
        <v/>
      </c>
      <c r="AS51">
        <f t="shared" si="56"/>
        <v>0</v>
      </c>
      <c r="AT51">
        <f t="shared" si="21"/>
        <v>0</v>
      </c>
      <c r="AU51" t="str">
        <f>_xlfn.XLOOKUP(AB51,'Order Page'!X$24:X$378,'Order Page'!B$24:B$378,0)</f>
        <v>x6</v>
      </c>
      <c r="AV51">
        <f>_xlfn.XLOOKUP(AB51,'Order Page'!X$24:X$378,'Order Page'!O$24:O$378,0)</f>
        <v>38</v>
      </c>
      <c r="AW51" s="264"/>
      <c r="AX51">
        <v>30</v>
      </c>
      <c r="AY51" t="e">
        <f t="shared" si="32"/>
        <v>#N/A</v>
      </c>
      <c r="AZ51" t="e">
        <f t="shared" si="33"/>
        <v>#N/A</v>
      </c>
      <c r="BA51" t="e">
        <f t="shared" si="34"/>
        <v>#N/A</v>
      </c>
      <c r="BB51" t="e">
        <f t="shared" si="35"/>
        <v>#N/A</v>
      </c>
      <c r="BC51" t="e">
        <f>IF(AND(BB$18&lt;1,AZ51&lt;=BC$18),IF(BB$18+BB51+SUMIF(BC$21:BC50,BD$18,BB$21:BB50)&lt;=1,BD$18,0))</f>
        <v>#N/A</v>
      </c>
      <c r="BD51" t="e">
        <f t="shared" si="39"/>
        <v>#N/A</v>
      </c>
      <c r="BE51" t="e">
        <f>IF(AND(BB$19&lt;1,AZ51&lt;=BC$19),IF(BB$19+BD51+SUMIF(BE$21:BE50,BD$19,BD$21:BD50)&lt;=1,BD$19,0))</f>
        <v>#N/A</v>
      </c>
      <c r="BF51" t="e">
        <f t="shared" si="40"/>
        <v>#N/A</v>
      </c>
      <c r="BG51">
        <f t="shared" si="36"/>
        <v>0</v>
      </c>
      <c r="BH51">
        <f t="shared" si="37"/>
        <v>0</v>
      </c>
      <c r="BI51">
        <f t="shared" si="43"/>
        <v>0</v>
      </c>
      <c r="BJ51" t="e">
        <f t="shared" si="41"/>
        <v>#N/A</v>
      </c>
      <c r="BK51" t="e">
        <f>IF(BJ51=0,BK50,IF(ROUNDDOWN(SUM(BJ$22:BJ51),0)=ROUNDDOWN(SUM(BJ$22:BJ50),0),BK50+BJ51,ROUNDDOWN(SUM(BJ$22:BJ51),0)+BJ51))</f>
        <v>#N/A</v>
      </c>
      <c r="BL51" t="e">
        <f t="shared" si="44"/>
        <v>#N/A</v>
      </c>
      <c r="BM51" t="e">
        <f t="shared" si="38"/>
        <v>#N/A</v>
      </c>
      <c r="BN51" t="e">
        <f t="shared" si="42"/>
        <v>#N/A</v>
      </c>
    </row>
    <row r="52" spans="1:66" x14ac:dyDescent="0.25">
      <c r="B52">
        <v>50</v>
      </c>
      <c r="C52">
        <f t="shared" ref="C52:C57" si="59">COUNTIFS(C$61:C$80,B52,D$61:D$80,"&lt;="&amp;G$50)</f>
        <v>0</v>
      </c>
      <c r="D52">
        <f t="shared" si="58"/>
        <v>0</v>
      </c>
      <c r="F52" s="21" t="s">
        <v>681</v>
      </c>
      <c r="G52">
        <f>IF(H52&gt;I54,6,IF(H52&gt;I53,5,IF(H52&gt;I52,4,IF(H52&gt;I51,3,IF(H52&gt;I50,2,1)))))</f>
        <v>1</v>
      </c>
      <c r="H52">
        <f>SUM(C61:C80)</f>
        <v>0</v>
      </c>
      <c r="I52">
        <f>LARGE(C61:C80,3)+G51+I51</f>
        <v>525</v>
      </c>
      <c r="L52">
        <v>49</v>
      </c>
      <c r="M52">
        <f>_xlfn.XLOOKUP(L52,'Order Page'!X$27:X$393,'Order Page'!T$27:T$393,0)</f>
        <v>0</v>
      </c>
      <c r="N52">
        <f>_xlfn.XLOOKUP(L52,'Order Page'!X$27:X$393,'Order Page'!R$27:R$393,0)</f>
        <v>0</v>
      </c>
      <c r="O52" t="str">
        <f t="shared" si="45"/>
        <v/>
      </c>
      <c r="P52" t="str">
        <f t="shared" si="46"/>
        <v/>
      </c>
      <c r="Q52" s="263"/>
      <c r="R52">
        <v>49</v>
      </c>
      <c r="S52">
        <f t="shared" si="57"/>
        <v>1</v>
      </c>
      <c r="T52">
        <f t="shared" si="47"/>
        <v>0</v>
      </c>
      <c r="U52">
        <f>_xlfn.XLOOKUP(T52,'Order Page'!X$27:X$393,'Order Page'!U$27:U$393,"")</f>
        <v>0</v>
      </c>
      <c r="W52" t="str">
        <f t="shared" si="48"/>
        <v/>
      </c>
      <c r="X52" t="str">
        <f t="shared" si="49"/>
        <v/>
      </c>
      <c r="Y52" t="str">
        <f>_xlfn.XLOOKUP(T52,'Order Page'!X$27:X$393,'Order Page'!C$27:C$393,"")</f>
        <v>Acorus Calamus</v>
      </c>
      <c r="Z52" s="264"/>
      <c r="AA52">
        <v>49</v>
      </c>
      <c r="AB52" cm="1">
        <f t="array" ref="AB52">VLOOKUP(ROW(49:49),S$4:T$153,2)</f>
        <v>0</v>
      </c>
      <c r="AD52" t="str">
        <f t="shared" si="50"/>
        <v/>
      </c>
      <c r="AE52" t="e">
        <f t="shared" si="25"/>
        <v>#N/A</v>
      </c>
      <c r="AF52" t="str">
        <f t="shared" si="51"/>
        <v/>
      </c>
      <c r="AG52" t="str">
        <f>_xlfn.XLOOKUP(AB52,'Order Page'!X$27:X$393,'Order Page'!C$27:C$393,"")</f>
        <v>Acorus Calamus</v>
      </c>
      <c r="AH52">
        <f t="shared" si="52"/>
        <v>0</v>
      </c>
      <c r="AI52">
        <f t="shared" si="53"/>
        <v>0</v>
      </c>
      <c r="AJ52">
        <f t="shared" si="27"/>
        <v>0</v>
      </c>
      <c r="AK52">
        <f t="shared" si="17"/>
        <v>0</v>
      </c>
      <c r="AL52">
        <f>IF(OR(AD51&amp;AF51&lt;&gt;AD52&amp;AF52,AK52&lt;AK51),AK51,0)+MAX(AL$4:AL51)</f>
        <v>0</v>
      </c>
      <c r="AM52">
        <f t="shared" si="18"/>
        <v>0</v>
      </c>
      <c r="AO52" s="25" t="str">
        <f t="shared" si="19"/>
        <v/>
      </c>
      <c r="AP52" s="25" t="str">
        <f t="shared" si="54"/>
        <v/>
      </c>
      <c r="AQ52" t="str">
        <f t="shared" si="20"/>
        <v/>
      </c>
      <c r="AR52" t="str">
        <f t="shared" si="55"/>
        <v/>
      </c>
      <c r="AS52">
        <f t="shared" si="56"/>
        <v>0</v>
      </c>
      <c r="AT52">
        <f t="shared" si="21"/>
        <v>0</v>
      </c>
      <c r="AU52" t="str">
        <f>_xlfn.XLOOKUP(AB52,'Order Page'!X$24:X$378,'Order Page'!B$24:B$378,0)</f>
        <v>x6</v>
      </c>
      <c r="AV52">
        <f>_xlfn.XLOOKUP(AB52,'Order Page'!X$24:X$378,'Order Page'!O$24:O$378,0)</f>
        <v>38</v>
      </c>
      <c r="AW52" s="264"/>
      <c r="AX52">
        <v>31</v>
      </c>
      <c r="AY52" t="e">
        <f t="shared" si="32"/>
        <v>#N/A</v>
      </c>
      <c r="AZ52" t="e">
        <f t="shared" si="33"/>
        <v>#N/A</v>
      </c>
      <c r="BA52" t="e">
        <f t="shared" si="34"/>
        <v>#N/A</v>
      </c>
      <c r="BB52" t="e">
        <f t="shared" si="35"/>
        <v>#N/A</v>
      </c>
      <c r="BC52" t="e">
        <f>IF(AND(BB$18&lt;1,AZ52&lt;=BC$18),IF(BB$18+BB52+SUMIF(BC$21:BC51,BD$18,BB$21:BB51)&lt;=1,BD$18,0))</f>
        <v>#N/A</v>
      </c>
      <c r="BD52" t="e">
        <f t="shared" si="39"/>
        <v>#N/A</v>
      </c>
      <c r="BE52" t="e">
        <f>IF(AND(BB$19&lt;1,AZ52&lt;=BC$19),IF(BB$19+BD52+SUMIF(BE$21:BE51,BD$19,BD$21:BD51)&lt;=1,BD$19,0))</f>
        <v>#N/A</v>
      </c>
      <c r="BF52" t="e">
        <f t="shared" si="40"/>
        <v>#N/A</v>
      </c>
      <c r="BG52">
        <f t="shared" si="36"/>
        <v>0</v>
      </c>
      <c r="BH52">
        <f t="shared" si="37"/>
        <v>0</v>
      </c>
      <c r="BI52">
        <f t="shared" si="43"/>
        <v>0</v>
      </c>
      <c r="BJ52" t="e">
        <f t="shared" si="41"/>
        <v>#N/A</v>
      </c>
      <c r="BK52" t="e">
        <f>IF(BJ52=0,BK51,IF(ROUNDDOWN(SUM(BJ$22:BJ52),0)=ROUNDDOWN(SUM(BJ$22:BJ51),0),BK51+BJ52,ROUNDDOWN(SUM(BJ$22:BJ52),0)+BJ52))</f>
        <v>#N/A</v>
      </c>
      <c r="BL52" t="e">
        <f t="shared" si="44"/>
        <v>#N/A</v>
      </c>
      <c r="BM52" t="e">
        <f t="shared" si="38"/>
        <v>#N/A</v>
      </c>
      <c r="BN52" t="e">
        <f t="shared" si="42"/>
        <v>#N/A</v>
      </c>
    </row>
    <row r="53" spans="1:66" x14ac:dyDescent="0.25">
      <c r="B53">
        <v>45</v>
      </c>
      <c r="C53">
        <f>COUNTIFS(C$61:C$80,B53,D$61:D$80,"&lt;="&amp;G$50)</f>
        <v>0</v>
      </c>
      <c r="D53">
        <f t="shared" si="58"/>
        <v>0</v>
      </c>
      <c r="F53" s="21" t="s">
        <v>691</v>
      </c>
      <c r="G53">
        <f>COUNTIF(C61:C80,"&gt;"&amp;0)</f>
        <v>0</v>
      </c>
      <c r="I53">
        <f>LARGE(C61:C80,4)+G51+I52</f>
        <v>700</v>
      </c>
      <c r="L53">
        <v>50</v>
      </c>
      <c r="M53">
        <f>_xlfn.XLOOKUP(L53,'Order Page'!X$27:X$393,'Order Page'!T$27:T$393,0)</f>
        <v>0</v>
      </c>
      <c r="N53">
        <f>_xlfn.XLOOKUP(L53,'Order Page'!X$27:X$393,'Order Page'!R$27:R$393,0)</f>
        <v>0</v>
      </c>
      <c r="O53" t="str">
        <f t="shared" si="45"/>
        <v/>
      </c>
      <c r="P53" t="str">
        <f t="shared" si="46"/>
        <v/>
      </c>
      <c r="Q53" s="263"/>
      <c r="R53">
        <v>50</v>
      </c>
      <c r="S53">
        <f t="shared" si="57"/>
        <v>1</v>
      </c>
      <c r="T53">
        <f t="shared" si="47"/>
        <v>0</v>
      </c>
      <c r="U53">
        <f>_xlfn.XLOOKUP(T53,'Order Page'!X$27:X$393,'Order Page'!U$27:U$393,"")</f>
        <v>0</v>
      </c>
      <c r="W53" t="str">
        <f t="shared" si="48"/>
        <v/>
      </c>
      <c r="X53" t="str">
        <f t="shared" si="49"/>
        <v/>
      </c>
      <c r="Y53" t="str">
        <f>_xlfn.XLOOKUP(T53,'Order Page'!X$27:X$393,'Order Page'!C$27:C$393,"")</f>
        <v>Acorus Calamus</v>
      </c>
      <c r="Z53" s="264"/>
      <c r="AA53">
        <v>50</v>
      </c>
      <c r="AB53" cm="1">
        <f t="array" ref="AB53">VLOOKUP(ROW(50:50),S$4:T$153,2)</f>
        <v>0</v>
      </c>
      <c r="AD53" t="str">
        <f t="shared" si="50"/>
        <v/>
      </c>
      <c r="AE53" t="e">
        <f t="shared" si="25"/>
        <v>#N/A</v>
      </c>
      <c r="AF53" t="str">
        <f t="shared" si="51"/>
        <v/>
      </c>
      <c r="AG53" t="str">
        <f>_xlfn.XLOOKUP(AB53,'Order Page'!X$27:X$393,'Order Page'!C$27:C$393,"")</f>
        <v>Acorus Calamus</v>
      </c>
      <c r="AH53">
        <f t="shared" si="52"/>
        <v>0</v>
      </c>
      <c r="AI53">
        <f t="shared" si="53"/>
        <v>0</v>
      </c>
      <c r="AJ53">
        <f t="shared" si="27"/>
        <v>0</v>
      </c>
      <c r="AK53">
        <f t="shared" si="17"/>
        <v>0</v>
      </c>
      <c r="AL53">
        <f>IF(OR(AD52&amp;AF52&lt;&gt;AD53&amp;AF53,AK53&lt;AK52),AK52,0)+MAX(AL$4:AL52)</f>
        <v>0</v>
      </c>
      <c r="AM53">
        <f t="shared" si="18"/>
        <v>0</v>
      </c>
      <c r="AO53" s="25" t="str">
        <f t="shared" si="19"/>
        <v/>
      </c>
      <c r="AP53" s="25" t="str">
        <f t="shared" si="54"/>
        <v/>
      </c>
      <c r="AQ53" t="str">
        <f t="shared" si="20"/>
        <v/>
      </c>
      <c r="AR53" t="str">
        <f t="shared" si="55"/>
        <v/>
      </c>
      <c r="AS53">
        <f t="shared" si="56"/>
        <v>0</v>
      </c>
      <c r="AT53">
        <f t="shared" si="21"/>
        <v>0</v>
      </c>
      <c r="AU53" t="str">
        <f>_xlfn.XLOOKUP(AB53,'Order Page'!X$24:X$378,'Order Page'!B$24:B$378,0)</f>
        <v>x6</v>
      </c>
      <c r="AV53">
        <f>_xlfn.XLOOKUP(AB53,'Order Page'!X$24:X$378,'Order Page'!O$24:O$378,0)</f>
        <v>38</v>
      </c>
      <c r="AW53" s="264"/>
      <c r="AX53">
        <v>32</v>
      </c>
      <c r="AY53" t="e">
        <f t="shared" si="32"/>
        <v>#N/A</v>
      </c>
      <c r="AZ53" t="e">
        <f t="shared" si="33"/>
        <v>#N/A</v>
      </c>
      <c r="BA53" t="e">
        <f t="shared" si="34"/>
        <v>#N/A</v>
      </c>
      <c r="BB53" t="e">
        <f t="shared" si="35"/>
        <v>#N/A</v>
      </c>
      <c r="BC53" t="e">
        <f>IF(AND(BB$18&lt;1,AZ53&lt;=BC$18),IF(BB$18+BB53+SUMIF(BC$21:BC52,BD$18,BB$21:BB52)&lt;=1,BD$18,0))</f>
        <v>#N/A</v>
      </c>
      <c r="BD53" t="e">
        <f t="shared" si="39"/>
        <v>#N/A</v>
      </c>
      <c r="BE53" t="e">
        <f>IF(AND(BB$19&lt;1,AZ53&lt;=BC$19),IF(BB$19+BD53+SUMIF(BE$21:BE52,BD$19,BD$21:BD52)&lt;=1,BD$19,0))</f>
        <v>#N/A</v>
      </c>
      <c r="BF53" t="e">
        <f t="shared" si="40"/>
        <v>#N/A</v>
      </c>
      <c r="BG53">
        <f t="shared" si="36"/>
        <v>0</v>
      </c>
      <c r="BH53">
        <f t="shared" si="37"/>
        <v>0</v>
      </c>
      <c r="BI53">
        <f t="shared" si="43"/>
        <v>0</v>
      </c>
      <c r="BJ53" t="e">
        <f t="shared" si="41"/>
        <v>#N/A</v>
      </c>
      <c r="BK53" t="e">
        <f>IF(BJ53=0,BK52,IF(ROUNDDOWN(SUM(BJ$22:BJ53),0)=ROUNDDOWN(SUM(BJ$22:BJ52),0),BK52+BJ53,ROUNDDOWN(SUM(BJ$22:BJ53),0)+BJ53))</f>
        <v>#N/A</v>
      </c>
      <c r="BL53" t="e">
        <f t="shared" si="44"/>
        <v>#N/A</v>
      </c>
      <c r="BM53" t="e">
        <f t="shared" si="38"/>
        <v>#N/A</v>
      </c>
      <c r="BN53" t="e">
        <f t="shared" si="42"/>
        <v>#N/A</v>
      </c>
    </row>
    <row r="54" spans="1:66" x14ac:dyDescent="0.25">
      <c r="B54">
        <v>40</v>
      </c>
      <c r="C54">
        <f t="shared" si="59"/>
        <v>0</v>
      </c>
      <c r="D54">
        <f t="shared" si="58"/>
        <v>0</v>
      </c>
      <c r="I54">
        <f>LARGE(C61:C80,5)+G51+I53</f>
        <v>875</v>
      </c>
      <c r="L54">
        <v>51</v>
      </c>
      <c r="M54">
        <f>_xlfn.XLOOKUP(L54,'Order Page'!X$27:X$393,'Order Page'!T$27:T$393,0)</f>
        <v>0</v>
      </c>
      <c r="N54">
        <f>_xlfn.XLOOKUP(L54,'Order Page'!X$27:X$393,'Order Page'!R$27:R$393,0)</f>
        <v>0</v>
      </c>
      <c r="O54" t="str">
        <f t="shared" si="45"/>
        <v/>
      </c>
      <c r="P54" t="str">
        <f t="shared" si="46"/>
        <v/>
      </c>
      <c r="Q54" s="263"/>
      <c r="R54">
        <v>51</v>
      </c>
      <c r="S54">
        <f t="shared" si="57"/>
        <v>1</v>
      </c>
      <c r="T54">
        <f t="shared" si="47"/>
        <v>0</v>
      </c>
      <c r="U54">
        <f>_xlfn.XLOOKUP(T54,'Order Page'!X$27:X$393,'Order Page'!U$27:U$393,"")</f>
        <v>0</v>
      </c>
      <c r="W54" t="str">
        <f t="shared" si="48"/>
        <v/>
      </c>
      <c r="X54" t="str">
        <f t="shared" si="49"/>
        <v/>
      </c>
      <c r="Y54" t="str">
        <f>_xlfn.XLOOKUP(T54,'Order Page'!X$27:X$393,'Order Page'!C$27:C$393,"")</f>
        <v>Acorus Calamus</v>
      </c>
      <c r="Z54" s="264"/>
      <c r="AA54">
        <v>51</v>
      </c>
      <c r="AB54" cm="1">
        <f t="array" ref="AB54">VLOOKUP(ROW(51:51),S$4:T$153,2)</f>
        <v>0</v>
      </c>
      <c r="AD54" t="str">
        <f t="shared" si="50"/>
        <v/>
      </c>
      <c r="AE54" t="e">
        <f t="shared" si="25"/>
        <v>#N/A</v>
      </c>
      <c r="AF54" t="str">
        <f t="shared" si="51"/>
        <v/>
      </c>
      <c r="AG54" t="str">
        <f>_xlfn.XLOOKUP(AB54,'Order Page'!X$27:X$393,'Order Page'!C$27:C$393,"")</f>
        <v>Acorus Calamus</v>
      </c>
      <c r="AH54">
        <f t="shared" si="52"/>
        <v>0</v>
      </c>
      <c r="AI54">
        <f t="shared" si="53"/>
        <v>0</v>
      </c>
      <c r="AJ54">
        <f t="shared" si="27"/>
        <v>0</v>
      </c>
      <c r="AK54">
        <f t="shared" si="17"/>
        <v>0</v>
      </c>
      <c r="AL54">
        <f>IF(OR(AD53&amp;AF53&lt;&gt;AD54&amp;AF54,AK54&lt;AK53),AK53,0)+MAX(AL$4:AL53)</f>
        <v>0</v>
      </c>
      <c r="AM54">
        <f t="shared" si="18"/>
        <v>0</v>
      </c>
      <c r="AO54" s="25" t="str">
        <f t="shared" si="19"/>
        <v/>
      </c>
      <c r="AP54" s="25" t="str">
        <f t="shared" si="54"/>
        <v/>
      </c>
      <c r="AQ54" t="str">
        <f t="shared" si="20"/>
        <v/>
      </c>
      <c r="AR54" t="str">
        <f t="shared" si="55"/>
        <v/>
      </c>
      <c r="AS54">
        <f t="shared" si="56"/>
        <v>0</v>
      </c>
      <c r="AT54">
        <f t="shared" si="21"/>
        <v>0</v>
      </c>
      <c r="AU54" t="str">
        <f>_xlfn.XLOOKUP(AB54,'Order Page'!X$24:X$378,'Order Page'!B$24:B$378,0)</f>
        <v>x6</v>
      </c>
      <c r="AV54">
        <f>_xlfn.XLOOKUP(AB54,'Order Page'!X$24:X$378,'Order Page'!O$24:O$378,0)</f>
        <v>38</v>
      </c>
      <c r="AW54" s="264"/>
      <c r="AX54">
        <v>33</v>
      </c>
      <c r="AY54" t="e">
        <f t="shared" ref="AY54:AY85" si="60">_xlfn.XLOOKUP(AX54,AR$4:AR$203,AB$4:AB$203)</f>
        <v>#N/A</v>
      </c>
      <c r="AZ54" t="e">
        <f t="shared" ref="AZ54:AZ85" si="61">_xlfn.XLOOKUP(AY54,L$4:L$153,N$4:N$153)</f>
        <v>#N/A</v>
      </c>
      <c r="BA54" t="e">
        <f t="shared" ref="BA54:BA85" si="62">_xlfn.XLOOKUP(AY54,L$4:L$153,M$4:M$153)</f>
        <v>#N/A</v>
      </c>
      <c r="BB54" t="e">
        <f t="shared" ref="BB54:BB85" si="63">_xlfn.XLOOKUP(BA54,B$38:B$46,D$38:D$46)</f>
        <v>#N/A</v>
      </c>
      <c r="BC54" t="e">
        <f>IF(AND(BB$18&lt;1,AZ54&lt;=BC$18),IF(BB$18+BB54+SUMIF(BC$21:BC53,BD$18,BB$21:BB53)&lt;=1,BD$18,0))</f>
        <v>#N/A</v>
      </c>
      <c r="BD54" t="e">
        <f t="shared" si="39"/>
        <v>#N/A</v>
      </c>
      <c r="BE54" t="e">
        <f>IF(AND(BB$19&lt;1,AZ54&lt;=BC$19),IF(BB$19+BD54+SUMIF(BE$21:BE53,BD$19,BD$21:BD53)&lt;=1,BD$19,0))</f>
        <v>#N/A</v>
      </c>
      <c r="BF54" t="e">
        <f t="shared" si="40"/>
        <v>#N/A</v>
      </c>
      <c r="BG54">
        <f t="shared" si="36"/>
        <v>0</v>
      </c>
      <c r="BH54">
        <f t="shared" si="37"/>
        <v>0</v>
      </c>
      <c r="BI54">
        <f t="shared" si="43"/>
        <v>0</v>
      </c>
      <c r="BJ54" t="e">
        <f t="shared" si="41"/>
        <v>#N/A</v>
      </c>
      <c r="BK54" t="e">
        <f>IF(BJ54=0,BK53,IF(ROUNDDOWN(SUM(BJ$22:BJ54),0)=ROUNDDOWN(SUM(BJ$22:BJ53),0),BK53+BJ54,ROUNDDOWN(SUM(BJ$22:BJ54),0)+BJ54))</f>
        <v>#N/A</v>
      </c>
      <c r="BL54" t="e">
        <f t="shared" si="44"/>
        <v>#N/A</v>
      </c>
      <c r="BM54" t="e">
        <f t="shared" ref="BM54:BM85" si="64">_xlfn.XLOOKUP(BA54,B$5:B$33,J$5:J$33)</f>
        <v>#N/A</v>
      </c>
      <c r="BN54" t="e">
        <f t="shared" si="42"/>
        <v>#N/A</v>
      </c>
    </row>
    <row r="55" spans="1:66" x14ac:dyDescent="0.25">
      <c r="B55">
        <v>35</v>
      </c>
      <c r="C55">
        <f t="shared" si="59"/>
        <v>0</v>
      </c>
      <c r="D55">
        <f t="shared" si="58"/>
        <v>0</v>
      </c>
      <c r="L55">
        <v>52</v>
      </c>
      <c r="M55">
        <f>_xlfn.XLOOKUP(L55,'Order Page'!X$27:X$393,'Order Page'!T$27:T$393,0)</f>
        <v>0</v>
      </c>
      <c r="N55">
        <f>_xlfn.XLOOKUP(L55,'Order Page'!X$27:X$393,'Order Page'!R$27:R$393,0)</f>
        <v>0</v>
      </c>
      <c r="O55" t="str">
        <f t="shared" si="45"/>
        <v/>
      </c>
      <c r="P55" t="str">
        <f t="shared" si="46"/>
        <v/>
      </c>
      <c r="Q55" s="263"/>
      <c r="R55">
        <v>52</v>
      </c>
      <c r="S55">
        <f t="shared" si="57"/>
        <v>1</v>
      </c>
      <c r="T55">
        <f t="shared" si="47"/>
        <v>0</v>
      </c>
      <c r="U55">
        <f>_xlfn.XLOOKUP(T55,'Order Page'!X$27:X$393,'Order Page'!U$27:U$393,"")</f>
        <v>0</v>
      </c>
      <c r="W55" t="str">
        <f t="shared" si="48"/>
        <v/>
      </c>
      <c r="X55" t="str">
        <f t="shared" si="49"/>
        <v/>
      </c>
      <c r="Y55" t="str">
        <f>_xlfn.XLOOKUP(T55,'Order Page'!X$27:X$393,'Order Page'!C$27:C$393,"")</f>
        <v>Acorus Calamus</v>
      </c>
      <c r="Z55" s="264"/>
      <c r="AA55">
        <v>52</v>
      </c>
      <c r="AB55" cm="1">
        <f t="array" ref="AB55">VLOOKUP(ROW(52:52),S$4:T$153,2)</f>
        <v>0</v>
      </c>
      <c r="AD55" t="str">
        <f t="shared" si="50"/>
        <v/>
      </c>
      <c r="AE55" t="e">
        <f t="shared" si="25"/>
        <v>#N/A</v>
      </c>
      <c r="AF55" t="str">
        <f t="shared" si="51"/>
        <v/>
      </c>
      <c r="AG55" t="str">
        <f>_xlfn.XLOOKUP(AB55,'Order Page'!X$27:X$393,'Order Page'!C$27:C$393,"")</f>
        <v>Acorus Calamus</v>
      </c>
      <c r="AH55">
        <f t="shared" si="52"/>
        <v>0</v>
      </c>
      <c r="AI55">
        <f t="shared" si="53"/>
        <v>0</v>
      </c>
      <c r="AJ55">
        <f t="shared" si="27"/>
        <v>0</v>
      </c>
      <c r="AK55">
        <f t="shared" si="17"/>
        <v>0</v>
      </c>
      <c r="AL55">
        <f>IF(OR(AD54&amp;AF54&lt;&gt;AD55&amp;AF55,AK55&lt;AK54),AK54,0)+MAX(AL$4:AL54)</f>
        <v>0</v>
      </c>
      <c r="AM55">
        <f t="shared" si="18"/>
        <v>0</v>
      </c>
      <c r="AO55" s="25" t="str">
        <f t="shared" si="19"/>
        <v/>
      </c>
      <c r="AP55" s="25" t="str">
        <f t="shared" si="54"/>
        <v/>
      </c>
      <c r="AQ55" t="str">
        <f t="shared" si="20"/>
        <v/>
      </c>
      <c r="AR55" t="str">
        <f t="shared" si="55"/>
        <v/>
      </c>
      <c r="AS55">
        <f t="shared" si="56"/>
        <v>0</v>
      </c>
      <c r="AT55">
        <f t="shared" si="21"/>
        <v>0</v>
      </c>
      <c r="AU55" t="str">
        <f>_xlfn.XLOOKUP(AB55,'Order Page'!X$24:X$378,'Order Page'!B$24:B$378,0)</f>
        <v>x6</v>
      </c>
      <c r="AV55">
        <f>_xlfn.XLOOKUP(AB55,'Order Page'!X$24:X$378,'Order Page'!O$24:O$378,0)</f>
        <v>38</v>
      </c>
      <c r="AW55" s="264"/>
      <c r="AX55">
        <v>34</v>
      </c>
      <c r="AY55" t="e">
        <f t="shared" si="60"/>
        <v>#N/A</v>
      </c>
      <c r="AZ55" t="e">
        <f t="shared" si="61"/>
        <v>#N/A</v>
      </c>
      <c r="BA55" t="e">
        <f t="shared" si="62"/>
        <v>#N/A</v>
      </c>
      <c r="BB55" t="e">
        <f t="shared" si="63"/>
        <v>#N/A</v>
      </c>
      <c r="BC55" t="e">
        <f>IF(AND(BB$18&lt;1,AZ55&lt;=BC$18),IF(BB$18+BB55+SUMIF(BC$21:BC54,BD$18,BB$21:BB54)&lt;=1,BD$18,0))</f>
        <v>#N/A</v>
      </c>
      <c r="BD55" t="e">
        <f t="shared" si="39"/>
        <v>#N/A</v>
      </c>
      <c r="BE55" t="e">
        <f>IF(AND(BB$19&lt;1,AZ55&lt;=BC$19),IF(BB$19+BD55+SUMIF(BE$21:BE54,BD$19,BD$21:BD54)&lt;=1,BD$19,0))</f>
        <v>#N/A</v>
      </c>
      <c r="BF55" t="e">
        <f t="shared" si="40"/>
        <v>#N/A</v>
      </c>
      <c r="BG55">
        <f t="shared" si="36"/>
        <v>0</v>
      </c>
      <c r="BH55">
        <f t="shared" si="37"/>
        <v>0</v>
      </c>
      <c r="BI55">
        <f t="shared" si="43"/>
        <v>0</v>
      </c>
      <c r="BJ55" t="e">
        <f t="shared" si="41"/>
        <v>#N/A</v>
      </c>
      <c r="BK55" t="e">
        <f>IF(BJ55=0,BK54,IF(ROUNDDOWN(SUM(BJ$22:BJ55),0)=ROUNDDOWN(SUM(BJ$22:BJ54),0),BK54+BJ55,ROUNDDOWN(SUM(BJ$22:BJ55),0)+BJ55))</f>
        <v>#N/A</v>
      </c>
      <c r="BL55" t="e">
        <f t="shared" si="44"/>
        <v>#N/A</v>
      </c>
      <c r="BM55" t="e">
        <f t="shared" si="64"/>
        <v>#N/A</v>
      </c>
      <c r="BN55" t="e">
        <f t="shared" si="42"/>
        <v>#N/A</v>
      </c>
    </row>
    <row r="56" spans="1:66" x14ac:dyDescent="0.25">
      <c r="B56">
        <v>30</v>
      </c>
      <c r="C56">
        <f t="shared" si="59"/>
        <v>0</v>
      </c>
      <c r="D56">
        <f t="shared" si="58"/>
        <v>0</v>
      </c>
      <c r="L56">
        <v>53</v>
      </c>
      <c r="M56">
        <f>_xlfn.XLOOKUP(L56,'Order Page'!X$27:X$393,'Order Page'!T$27:T$393,0)</f>
        <v>0</v>
      </c>
      <c r="N56">
        <f>_xlfn.XLOOKUP(L56,'Order Page'!X$27:X$393,'Order Page'!R$27:R$393,0)</f>
        <v>0</v>
      </c>
      <c r="O56" t="str">
        <f t="shared" si="45"/>
        <v/>
      </c>
      <c r="P56" t="str">
        <f t="shared" si="46"/>
        <v/>
      </c>
      <c r="Q56" s="263"/>
      <c r="R56">
        <v>53</v>
      </c>
      <c r="S56">
        <f t="shared" si="57"/>
        <v>1</v>
      </c>
      <c r="T56">
        <f t="shared" si="47"/>
        <v>0</v>
      </c>
      <c r="U56">
        <f>_xlfn.XLOOKUP(T56,'Order Page'!X$27:X$393,'Order Page'!U$27:U$393,"")</f>
        <v>0</v>
      </c>
      <c r="W56" t="str">
        <f t="shared" si="48"/>
        <v/>
      </c>
      <c r="X56" t="str">
        <f t="shared" si="49"/>
        <v/>
      </c>
      <c r="Y56" t="str">
        <f>_xlfn.XLOOKUP(T56,'Order Page'!X$27:X$393,'Order Page'!C$27:C$393,"")</f>
        <v>Acorus Calamus</v>
      </c>
      <c r="Z56" s="264"/>
      <c r="AA56">
        <v>53</v>
      </c>
      <c r="AB56" cm="1">
        <f t="array" ref="AB56">VLOOKUP(ROW(53:53),S$4:T$153,2)</f>
        <v>0</v>
      </c>
      <c r="AD56" t="str">
        <f t="shared" si="50"/>
        <v/>
      </c>
      <c r="AE56" t="e">
        <f t="shared" si="25"/>
        <v>#N/A</v>
      </c>
      <c r="AF56" t="str">
        <f t="shared" si="51"/>
        <v/>
      </c>
      <c r="AG56" t="str">
        <f>_xlfn.XLOOKUP(AB56,'Order Page'!X$27:X$393,'Order Page'!C$27:C$393,"")</f>
        <v>Acorus Calamus</v>
      </c>
      <c r="AH56">
        <f t="shared" si="52"/>
        <v>0</v>
      </c>
      <c r="AI56">
        <f t="shared" si="53"/>
        <v>0</v>
      </c>
      <c r="AJ56">
        <f t="shared" si="27"/>
        <v>0</v>
      </c>
      <c r="AK56">
        <f t="shared" si="17"/>
        <v>0</v>
      </c>
      <c r="AL56">
        <f>IF(OR(AD55&amp;AF55&lt;&gt;AD56&amp;AF56,AK56&lt;AK55),AK55,0)+MAX(AL$4:AL55)</f>
        <v>0</v>
      </c>
      <c r="AM56">
        <f t="shared" si="18"/>
        <v>0</v>
      </c>
      <c r="AO56" s="25" t="str">
        <f t="shared" si="19"/>
        <v/>
      </c>
      <c r="AP56" s="25" t="str">
        <f t="shared" si="54"/>
        <v/>
      </c>
      <c r="AQ56" t="str">
        <f t="shared" si="20"/>
        <v/>
      </c>
      <c r="AR56" t="str">
        <f t="shared" si="55"/>
        <v/>
      </c>
      <c r="AS56">
        <f t="shared" si="56"/>
        <v>0</v>
      </c>
      <c r="AT56">
        <f t="shared" si="21"/>
        <v>0</v>
      </c>
      <c r="AU56" t="str">
        <f>_xlfn.XLOOKUP(AB56,'Order Page'!X$24:X$378,'Order Page'!B$24:B$378,0)</f>
        <v>x6</v>
      </c>
      <c r="AV56">
        <f>_xlfn.XLOOKUP(AB56,'Order Page'!X$24:X$378,'Order Page'!O$24:O$378,0)</f>
        <v>38</v>
      </c>
      <c r="AW56" s="264"/>
      <c r="AX56">
        <v>35</v>
      </c>
      <c r="AY56" t="e">
        <f t="shared" si="60"/>
        <v>#N/A</v>
      </c>
      <c r="AZ56" t="e">
        <f t="shared" si="61"/>
        <v>#N/A</v>
      </c>
      <c r="BA56" t="e">
        <f t="shared" si="62"/>
        <v>#N/A</v>
      </c>
      <c r="BB56" t="e">
        <f t="shared" si="63"/>
        <v>#N/A</v>
      </c>
      <c r="BC56" t="e">
        <f>IF(AND(BB$18&lt;1,AZ56&lt;=BC$18),IF(BB$18+BB56+SUMIF(BC$21:BC55,BD$18,BB$21:BB55)&lt;=1,BD$18,0))</f>
        <v>#N/A</v>
      </c>
      <c r="BD56" t="e">
        <f t="shared" si="39"/>
        <v>#N/A</v>
      </c>
      <c r="BE56" t="e">
        <f>IF(AND(BB$19&lt;1,AZ56&lt;=BC$19),IF(BB$19+BD56+SUMIF(BE$21:BE55,BD$19,BD$21:BD55)&lt;=1,BD$19,0))</f>
        <v>#N/A</v>
      </c>
      <c r="BF56" t="e">
        <f t="shared" si="40"/>
        <v>#N/A</v>
      </c>
      <c r="BG56">
        <f t="shared" si="36"/>
        <v>0</v>
      </c>
      <c r="BH56">
        <f t="shared" si="37"/>
        <v>0</v>
      </c>
      <c r="BI56">
        <f t="shared" si="43"/>
        <v>0</v>
      </c>
      <c r="BJ56" t="e">
        <f t="shared" si="41"/>
        <v>#N/A</v>
      </c>
      <c r="BK56" t="e">
        <f>IF(BJ56=0,BK55,IF(ROUNDDOWN(SUM(BJ$22:BJ56),0)=ROUNDDOWN(SUM(BJ$22:BJ55),0),BK55+BJ56,ROUNDDOWN(SUM(BJ$22:BJ56),0)+BJ56))</f>
        <v>#N/A</v>
      </c>
      <c r="BL56" t="e">
        <f t="shared" si="44"/>
        <v>#N/A</v>
      </c>
      <c r="BM56" t="e">
        <f t="shared" si="64"/>
        <v>#N/A</v>
      </c>
      <c r="BN56" t="e">
        <f t="shared" si="42"/>
        <v>#N/A</v>
      </c>
    </row>
    <row r="57" spans="1:66" x14ac:dyDescent="0.25">
      <c r="B57">
        <v>25</v>
      </c>
      <c r="C57">
        <f t="shared" si="59"/>
        <v>0</v>
      </c>
      <c r="D57">
        <f t="shared" si="58"/>
        <v>0</v>
      </c>
      <c r="L57">
        <v>54</v>
      </c>
      <c r="M57">
        <f>_xlfn.XLOOKUP(L57,'Order Page'!X$27:X$393,'Order Page'!T$27:T$393,0)</f>
        <v>0</v>
      </c>
      <c r="N57">
        <f>_xlfn.XLOOKUP(L57,'Order Page'!X$27:X$393,'Order Page'!R$27:R$393,0)</f>
        <v>0</v>
      </c>
      <c r="O57" t="str">
        <f t="shared" si="45"/>
        <v/>
      </c>
      <c r="P57" t="str">
        <f t="shared" si="46"/>
        <v/>
      </c>
      <c r="Q57" s="263"/>
      <c r="R57">
        <v>54</v>
      </c>
      <c r="S57">
        <f t="shared" si="57"/>
        <v>1</v>
      </c>
      <c r="T57">
        <f t="shared" si="47"/>
        <v>0</v>
      </c>
      <c r="U57">
        <f>_xlfn.XLOOKUP(T57,'Order Page'!X$27:X$393,'Order Page'!U$27:U$393,"")</f>
        <v>0</v>
      </c>
      <c r="W57" t="str">
        <f t="shared" si="48"/>
        <v/>
      </c>
      <c r="X57" t="str">
        <f t="shared" si="49"/>
        <v/>
      </c>
      <c r="Y57" t="str">
        <f>_xlfn.XLOOKUP(T57,'Order Page'!X$27:X$393,'Order Page'!C$27:C$393,"")</f>
        <v>Acorus Calamus</v>
      </c>
      <c r="Z57" s="264"/>
      <c r="AA57">
        <v>54</v>
      </c>
      <c r="AB57" cm="1">
        <f t="array" ref="AB57">VLOOKUP(ROW(54:54),S$4:T$153,2)</f>
        <v>0</v>
      </c>
      <c r="AD57" t="str">
        <f t="shared" si="50"/>
        <v/>
      </c>
      <c r="AE57" t="e">
        <f t="shared" si="25"/>
        <v>#N/A</v>
      </c>
      <c r="AF57" t="str">
        <f t="shared" si="51"/>
        <v/>
      </c>
      <c r="AG57" t="str">
        <f>_xlfn.XLOOKUP(AB57,'Order Page'!X$27:X$393,'Order Page'!C$27:C$393,"")</f>
        <v>Acorus Calamus</v>
      </c>
      <c r="AH57">
        <f t="shared" si="52"/>
        <v>0</v>
      </c>
      <c r="AI57">
        <f t="shared" si="53"/>
        <v>0</v>
      </c>
      <c r="AJ57">
        <f t="shared" si="27"/>
        <v>0</v>
      </c>
      <c r="AK57">
        <f t="shared" si="17"/>
        <v>0</v>
      </c>
      <c r="AL57">
        <f>IF(OR(AD56&amp;AF56&lt;&gt;AD57&amp;AF57,AK57&lt;AK56),AK56,0)+MAX(AL$4:AL56)</f>
        <v>0</v>
      </c>
      <c r="AM57">
        <f t="shared" si="18"/>
        <v>0</v>
      </c>
      <c r="AO57" s="25" t="str">
        <f t="shared" si="19"/>
        <v/>
      </c>
      <c r="AP57" s="25" t="str">
        <f t="shared" si="54"/>
        <v/>
      </c>
      <c r="AQ57" t="str">
        <f t="shared" si="20"/>
        <v/>
      </c>
      <c r="AR57" t="str">
        <f t="shared" si="55"/>
        <v/>
      </c>
      <c r="AS57">
        <f t="shared" si="56"/>
        <v>0</v>
      </c>
      <c r="AT57">
        <f t="shared" si="21"/>
        <v>0</v>
      </c>
      <c r="AU57" t="str">
        <f>_xlfn.XLOOKUP(AB57,'Order Page'!X$24:X$378,'Order Page'!B$24:B$378,0)</f>
        <v>x6</v>
      </c>
      <c r="AV57">
        <f>_xlfn.XLOOKUP(AB57,'Order Page'!X$24:X$378,'Order Page'!O$24:O$378,0)</f>
        <v>38</v>
      </c>
      <c r="AW57" s="264"/>
      <c r="AX57">
        <v>36</v>
      </c>
      <c r="AY57" t="e">
        <f t="shared" si="60"/>
        <v>#N/A</v>
      </c>
      <c r="AZ57" t="e">
        <f t="shared" si="61"/>
        <v>#N/A</v>
      </c>
      <c r="BA57" t="e">
        <f t="shared" si="62"/>
        <v>#N/A</v>
      </c>
      <c r="BB57" t="e">
        <f t="shared" si="63"/>
        <v>#N/A</v>
      </c>
      <c r="BC57" t="e">
        <f>IF(AND(BB$18&lt;1,AZ57&lt;=BC$18),IF(BB$18+BB57+SUMIF(BC$21:BC56,BD$18,BB$21:BB56)&lt;=1,BD$18,0))</f>
        <v>#N/A</v>
      </c>
      <c r="BD57" t="e">
        <f t="shared" si="39"/>
        <v>#N/A</v>
      </c>
      <c r="BE57" t="e">
        <f>IF(AND(BB$19&lt;1,AZ57&lt;=BC$19),IF(BB$19+BD57+SUMIF(BE$21:BE56,BD$19,BD$21:BD56)&lt;=1,BD$19,0))</f>
        <v>#N/A</v>
      </c>
      <c r="BF57" t="e">
        <f t="shared" si="40"/>
        <v>#N/A</v>
      </c>
      <c r="BG57">
        <f t="shared" si="36"/>
        <v>0</v>
      </c>
      <c r="BH57">
        <f t="shared" si="37"/>
        <v>0</v>
      </c>
      <c r="BI57">
        <f t="shared" si="43"/>
        <v>0</v>
      </c>
      <c r="BJ57" t="e">
        <f t="shared" si="41"/>
        <v>#N/A</v>
      </c>
      <c r="BK57" t="e">
        <f>IF(BJ57=0,BK56,IF(ROUNDDOWN(SUM(BJ$22:BJ57),0)=ROUNDDOWN(SUM(BJ$22:BJ56),0),BK56+BJ57,ROUNDDOWN(SUM(BJ$22:BJ57),0)+BJ57))</f>
        <v>#N/A</v>
      </c>
      <c r="BL57" t="e">
        <f t="shared" si="44"/>
        <v>#N/A</v>
      </c>
      <c r="BM57" t="e">
        <f t="shared" si="64"/>
        <v>#N/A</v>
      </c>
      <c r="BN57" t="e">
        <f t="shared" si="42"/>
        <v>#N/A</v>
      </c>
    </row>
    <row r="58" spans="1:66" x14ac:dyDescent="0.25">
      <c r="L58">
        <v>55</v>
      </c>
      <c r="M58">
        <f>_xlfn.XLOOKUP(L58,'Order Page'!X$27:X$393,'Order Page'!T$27:T$393,0)</f>
        <v>0</v>
      </c>
      <c r="N58">
        <f>_xlfn.XLOOKUP(L58,'Order Page'!X$27:X$393,'Order Page'!R$27:R$393,0)</f>
        <v>0</v>
      </c>
      <c r="O58" t="str">
        <f t="shared" si="45"/>
        <v/>
      </c>
      <c r="P58" t="str">
        <f t="shared" si="46"/>
        <v/>
      </c>
      <c r="Q58" s="263"/>
      <c r="R58">
        <v>55</v>
      </c>
      <c r="S58">
        <f t="shared" si="57"/>
        <v>1</v>
      </c>
      <c r="T58">
        <f t="shared" si="47"/>
        <v>0</v>
      </c>
      <c r="U58">
        <f>_xlfn.XLOOKUP(T58,'Order Page'!X$27:X$393,'Order Page'!U$27:U$393,"")</f>
        <v>0</v>
      </c>
      <c r="W58" t="str">
        <f t="shared" si="48"/>
        <v/>
      </c>
      <c r="X58" t="str">
        <f t="shared" si="49"/>
        <v/>
      </c>
      <c r="Y58" t="str">
        <f>_xlfn.XLOOKUP(T58,'Order Page'!X$27:X$393,'Order Page'!C$27:C$393,"")</f>
        <v>Acorus Calamus</v>
      </c>
      <c r="Z58" s="264"/>
      <c r="AA58">
        <v>55</v>
      </c>
      <c r="AB58" cm="1">
        <f t="array" ref="AB58">VLOOKUP(ROW(55:55),S$4:T$153,2)</f>
        <v>0</v>
      </c>
      <c r="AD58" t="str">
        <f t="shared" si="50"/>
        <v/>
      </c>
      <c r="AE58" t="e">
        <f t="shared" si="25"/>
        <v>#N/A</v>
      </c>
      <c r="AF58" t="str">
        <f t="shared" si="51"/>
        <v/>
      </c>
      <c r="AG58" t="str">
        <f>_xlfn.XLOOKUP(AB58,'Order Page'!X$27:X$393,'Order Page'!C$27:C$393,"")</f>
        <v>Acorus Calamus</v>
      </c>
      <c r="AH58">
        <f t="shared" si="52"/>
        <v>0</v>
      </c>
      <c r="AI58">
        <f t="shared" si="53"/>
        <v>0</v>
      </c>
      <c r="AJ58">
        <f t="shared" si="27"/>
        <v>0</v>
      </c>
      <c r="AK58">
        <f t="shared" si="17"/>
        <v>0</v>
      </c>
      <c r="AL58">
        <f>IF(OR(AD57&amp;AF57&lt;&gt;AD58&amp;AF58,AK58&lt;AK57),AK57,0)+MAX(AL$4:AL57)</f>
        <v>0</v>
      </c>
      <c r="AM58">
        <f t="shared" si="18"/>
        <v>0</v>
      </c>
      <c r="AO58" s="25" t="str">
        <f t="shared" si="19"/>
        <v/>
      </c>
      <c r="AP58" s="25" t="str">
        <f t="shared" si="54"/>
        <v/>
      </c>
      <c r="AQ58" t="str">
        <f t="shared" si="20"/>
        <v/>
      </c>
      <c r="AR58" t="str">
        <f t="shared" si="55"/>
        <v/>
      </c>
      <c r="AS58">
        <f t="shared" si="56"/>
        <v>0</v>
      </c>
      <c r="AT58">
        <f t="shared" si="21"/>
        <v>0</v>
      </c>
      <c r="AU58" t="str">
        <f>_xlfn.XLOOKUP(AB58,'Order Page'!X$24:X$378,'Order Page'!B$24:B$378,0)</f>
        <v>x6</v>
      </c>
      <c r="AV58">
        <f>_xlfn.XLOOKUP(AB58,'Order Page'!X$24:X$378,'Order Page'!O$24:O$378,0)</f>
        <v>38</v>
      </c>
      <c r="AW58" s="264"/>
      <c r="AX58">
        <v>37</v>
      </c>
      <c r="AY58" t="e">
        <f t="shared" si="60"/>
        <v>#N/A</v>
      </c>
      <c r="AZ58" t="e">
        <f t="shared" si="61"/>
        <v>#N/A</v>
      </c>
      <c r="BA58" t="e">
        <f t="shared" si="62"/>
        <v>#N/A</v>
      </c>
      <c r="BB58" t="e">
        <f t="shared" si="63"/>
        <v>#N/A</v>
      </c>
      <c r="BC58" t="e">
        <f>IF(AND(BB$18&lt;1,AZ58&lt;=BC$18),IF(BB$18+BB58+SUMIF(BC$21:BC57,BD$18,BB$21:BB57)&lt;=1,BD$18,0))</f>
        <v>#N/A</v>
      </c>
      <c r="BD58" t="e">
        <f t="shared" si="39"/>
        <v>#N/A</v>
      </c>
      <c r="BE58" t="e">
        <f>IF(AND(BB$19&lt;1,AZ58&lt;=BC$19),IF(BB$19+BD58+SUMIF(BE$21:BE57,BD$19,BD$21:BD57)&lt;=1,BD$19,0))</f>
        <v>#N/A</v>
      </c>
      <c r="BF58" t="e">
        <f t="shared" si="40"/>
        <v>#N/A</v>
      </c>
      <c r="BG58">
        <f t="shared" si="36"/>
        <v>0</v>
      </c>
      <c r="BH58">
        <f t="shared" si="37"/>
        <v>0</v>
      </c>
      <c r="BI58">
        <f t="shared" si="43"/>
        <v>0</v>
      </c>
      <c r="BJ58" t="e">
        <f t="shared" si="41"/>
        <v>#N/A</v>
      </c>
      <c r="BK58" t="e">
        <f>IF(BJ58=0,BK57,IF(ROUNDDOWN(SUM(BJ$22:BJ58),0)=ROUNDDOWN(SUM(BJ$22:BJ57),0),BK57+BJ58,ROUNDDOWN(SUM(BJ$22:BJ58),0)+BJ58))</f>
        <v>#N/A</v>
      </c>
      <c r="BL58" t="e">
        <f t="shared" si="44"/>
        <v>#N/A</v>
      </c>
      <c r="BM58" t="e">
        <f t="shared" si="64"/>
        <v>#N/A</v>
      </c>
      <c r="BN58" t="e">
        <f t="shared" si="42"/>
        <v>#N/A</v>
      </c>
    </row>
    <row r="59" spans="1:66" x14ac:dyDescent="0.25">
      <c r="E59" s="387" t="s">
        <v>723</v>
      </c>
      <c r="F59" s="387"/>
      <c r="G59" s="387"/>
      <c r="H59" s="25"/>
      <c r="L59">
        <v>56</v>
      </c>
      <c r="M59">
        <f>_xlfn.XLOOKUP(L59,'Order Page'!X$27:X$393,'Order Page'!T$27:T$393,0)</f>
        <v>0</v>
      </c>
      <c r="N59">
        <f>_xlfn.XLOOKUP(L59,'Order Page'!X$27:X$393,'Order Page'!R$27:R$393,0)</f>
        <v>0</v>
      </c>
      <c r="O59" t="str">
        <f t="shared" si="45"/>
        <v/>
      </c>
      <c r="P59" t="str">
        <f t="shared" si="46"/>
        <v/>
      </c>
      <c r="Q59" s="263"/>
      <c r="R59">
        <v>56</v>
      </c>
      <c r="S59">
        <f t="shared" si="57"/>
        <v>1</v>
      </c>
      <c r="T59">
        <f t="shared" si="47"/>
        <v>0</v>
      </c>
      <c r="U59">
        <f>_xlfn.XLOOKUP(T59,'Order Page'!X$27:X$393,'Order Page'!U$27:U$393,"")</f>
        <v>0</v>
      </c>
      <c r="W59" t="str">
        <f t="shared" si="48"/>
        <v/>
      </c>
      <c r="X59" t="str">
        <f t="shared" si="49"/>
        <v/>
      </c>
      <c r="Y59" t="str">
        <f>_xlfn.XLOOKUP(T59,'Order Page'!X$27:X$393,'Order Page'!C$27:C$393,"")</f>
        <v>Acorus Calamus</v>
      </c>
      <c r="Z59" s="264"/>
      <c r="AA59">
        <v>56</v>
      </c>
      <c r="AB59" cm="1">
        <f t="array" ref="AB59">VLOOKUP(ROW(56:56),S$4:T$153,2)</f>
        <v>0</v>
      </c>
      <c r="AD59" t="str">
        <f t="shared" si="50"/>
        <v/>
      </c>
      <c r="AE59" t="e">
        <f t="shared" si="25"/>
        <v>#N/A</v>
      </c>
      <c r="AF59" t="str">
        <f t="shared" si="51"/>
        <v/>
      </c>
      <c r="AG59" t="str">
        <f>_xlfn.XLOOKUP(AB59,'Order Page'!X$27:X$393,'Order Page'!C$27:C$393,"")</f>
        <v>Acorus Calamus</v>
      </c>
      <c r="AH59">
        <f t="shared" si="52"/>
        <v>0</v>
      </c>
      <c r="AI59">
        <f t="shared" si="53"/>
        <v>0</v>
      </c>
      <c r="AJ59">
        <f t="shared" si="27"/>
        <v>0</v>
      </c>
      <c r="AK59">
        <f t="shared" si="17"/>
        <v>0</v>
      </c>
      <c r="AL59">
        <f>IF(OR(AD58&amp;AF58&lt;&gt;AD59&amp;AF59,AK59&lt;AK58),AK58,0)+MAX(AL$4:AL58)</f>
        <v>0</v>
      </c>
      <c r="AM59">
        <f t="shared" si="18"/>
        <v>0</v>
      </c>
      <c r="AO59" s="25" t="str">
        <f t="shared" si="19"/>
        <v/>
      </c>
      <c r="AP59" s="25" t="str">
        <f t="shared" si="54"/>
        <v/>
      </c>
      <c r="AQ59" t="str">
        <f t="shared" si="20"/>
        <v/>
      </c>
      <c r="AR59" t="str">
        <f t="shared" si="55"/>
        <v/>
      </c>
      <c r="AS59">
        <f t="shared" si="56"/>
        <v>0</v>
      </c>
      <c r="AT59">
        <f t="shared" si="21"/>
        <v>0</v>
      </c>
      <c r="AU59" t="str">
        <f>_xlfn.XLOOKUP(AB59,'Order Page'!X$24:X$378,'Order Page'!B$24:B$378,0)</f>
        <v>x6</v>
      </c>
      <c r="AV59">
        <f>_xlfn.XLOOKUP(AB59,'Order Page'!X$24:X$378,'Order Page'!O$24:O$378,0)</f>
        <v>38</v>
      </c>
      <c r="AW59" s="264"/>
      <c r="AX59">
        <v>38</v>
      </c>
      <c r="AY59" t="e">
        <f t="shared" si="60"/>
        <v>#N/A</v>
      </c>
      <c r="AZ59" t="e">
        <f t="shared" si="61"/>
        <v>#N/A</v>
      </c>
      <c r="BA59" t="e">
        <f t="shared" si="62"/>
        <v>#N/A</v>
      </c>
      <c r="BB59" t="e">
        <f t="shared" si="63"/>
        <v>#N/A</v>
      </c>
      <c r="BC59" t="e">
        <f>IF(AND(BB$18&lt;1,AZ59&lt;=BC$18),IF(BB$18+BB59+SUMIF(BC$21:BC58,BD$18,BB$21:BB58)&lt;=1,BD$18,0))</f>
        <v>#N/A</v>
      </c>
      <c r="BD59" t="e">
        <f t="shared" si="39"/>
        <v>#N/A</v>
      </c>
      <c r="BE59" t="e">
        <f>IF(AND(BB$19&lt;1,AZ59&lt;=BC$19),IF(BB$19+BD59+SUMIF(BE$21:BE58,BD$19,BD$21:BD58)&lt;=1,BD$19,0))</f>
        <v>#N/A</v>
      </c>
      <c r="BF59" t="e">
        <f t="shared" si="40"/>
        <v>#N/A</v>
      </c>
      <c r="BG59">
        <f t="shared" si="36"/>
        <v>0</v>
      </c>
      <c r="BH59">
        <f t="shared" si="37"/>
        <v>0</v>
      </c>
      <c r="BI59">
        <f t="shared" si="43"/>
        <v>0</v>
      </c>
      <c r="BJ59" t="e">
        <f t="shared" si="41"/>
        <v>#N/A</v>
      </c>
      <c r="BK59" t="e">
        <f>IF(BJ59=0,BK58,IF(ROUNDDOWN(SUM(BJ$22:BJ59),0)=ROUNDDOWN(SUM(BJ$22:BJ58),0),BK58+BJ59,ROUNDDOWN(SUM(BJ$22:BJ59),0)+BJ59))</f>
        <v>#N/A</v>
      </c>
      <c r="BL59" t="e">
        <f t="shared" si="44"/>
        <v>#N/A</v>
      </c>
      <c r="BM59" t="e">
        <f t="shared" si="64"/>
        <v>#N/A</v>
      </c>
      <c r="BN59" t="e">
        <f t="shared" si="42"/>
        <v>#N/A</v>
      </c>
    </row>
    <row r="60" spans="1:66" x14ac:dyDescent="0.25">
      <c r="C60" t="s">
        <v>679</v>
      </c>
      <c r="D60" t="s">
        <v>680</v>
      </c>
      <c r="E60" t="s">
        <v>684</v>
      </c>
      <c r="F60" t="s">
        <v>594</v>
      </c>
      <c r="G60" t="s">
        <v>686</v>
      </c>
      <c r="H60" t="s">
        <v>690</v>
      </c>
      <c r="J60" t="s">
        <v>672</v>
      </c>
      <c r="L60">
        <v>57</v>
      </c>
      <c r="M60">
        <f>_xlfn.XLOOKUP(L60,'Order Page'!X$27:X$393,'Order Page'!T$27:T$393,0)</f>
        <v>0</v>
      </c>
      <c r="N60">
        <f>_xlfn.XLOOKUP(L60,'Order Page'!X$27:X$393,'Order Page'!R$27:R$393,0)</f>
        <v>0</v>
      </c>
      <c r="O60" t="str">
        <f t="shared" si="45"/>
        <v/>
      </c>
      <c r="P60" t="str">
        <f t="shared" si="46"/>
        <v/>
      </c>
      <c r="Q60" s="263"/>
      <c r="R60">
        <v>57</v>
      </c>
      <c r="S60">
        <f t="shared" si="57"/>
        <v>1</v>
      </c>
      <c r="T60">
        <f t="shared" si="47"/>
        <v>0</v>
      </c>
      <c r="U60">
        <f>_xlfn.XLOOKUP(T60,'Order Page'!X$27:X$393,'Order Page'!U$27:U$393,"")</f>
        <v>0</v>
      </c>
      <c r="W60" t="str">
        <f t="shared" si="48"/>
        <v/>
      </c>
      <c r="X60" t="str">
        <f t="shared" si="49"/>
        <v/>
      </c>
      <c r="Y60" t="str">
        <f>_xlfn.XLOOKUP(T60,'Order Page'!X$27:X$393,'Order Page'!C$27:C$393,"")</f>
        <v>Acorus Calamus</v>
      </c>
      <c r="Z60" s="264"/>
      <c r="AA60">
        <v>57</v>
      </c>
      <c r="AB60" cm="1">
        <f t="array" ref="AB60">VLOOKUP(ROW(57:57),S$4:T$153,2)</f>
        <v>0</v>
      </c>
      <c r="AD60" t="str">
        <f t="shared" si="50"/>
        <v/>
      </c>
      <c r="AE60" t="e">
        <f t="shared" si="25"/>
        <v>#N/A</v>
      </c>
      <c r="AF60" t="str">
        <f t="shared" si="51"/>
        <v/>
      </c>
      <c r="AG60" t="str">
        <f>_xlfn.XLOOKUP(AB60,'Order Page'!X$27:X$393,'Order Page'!C$27:C$393,"")</f>
        <v>Acorus Calamus</v>
      </c>
      <c r="AH60">
        <f t="shared" si="52"/>
        <v>0</v>
      </c>
      <c r="AI60">
        <f t="shared" si="53"/>
        <v>0</v>
      </c>
      <c r="AJ60">
        <f t="shared" si="27"/>
        <v>0</v>
      </c>
      <c r="AK60">
        <f t="shared" si="17"/>
        <v>0</v>
      </c>
      <c r="AL60">
        <f>IF(OR(AD59&amp;AF59&lt;&gt;AD60&amp;AF60,AK60&lt;AK59),AK59,0)+MAX(AL$4:AL59)</f>
        <v>0</v>
      </c>
      <c r="AM60">
        <f t="shared" si="18"/>
        <v>0</v>
      </c>
      <c r="AO60" s="25" t="str">
        <f t="shared" si="19"/>
        <v/>
      </c>
      <c r="AP60" s="25" t="str">
        <f t="shared" si="54"/>
        <v/>
      </c>
      <c r="AQ60" t="str">
        <f t="shared" si="20"/>
        <v/>
      </c>
      <c r="AR60" t="str">
        <f t="shared" si="55"/>
        <v/>
      </c>
      <c r="AS60">
        <f t="shared" si="56"/>
        <v>0</v>
      </c>
      <c r="AT60">
        <f t="shared" si="21"/>
        <v>0</v>
      </c>
      <c r="AU60" t="str">
        <f>_xlfn.XLOOKUP(AB60,'Order Page'!X$24:X$378,'Order Page'!B$24:B$378,0)</f>
        <v>x6</v>
      </c>
      <c r="AV60">
        <f>_xlfn.XLOOKUP(AB60,'Order Page'!X$24:X$378,'Order Page'!O$24:O$378,0)</f>
        <v>38</v>
      </c>
      <c r="AW60" s="264"/>
      <c r="AX60">
        <v>39</v>
      </c>
      <c r="AY60" t="e">
        <f t="shared" si="60"/>
        <v>#N/A</v>
      </c>
      <c r="AZ60" t="e">
        <f t="shared" si="61"/>
        <v>#N/A</v>
      </c>
      <c r="BA60" t="e">
        <f t="shared" si="62"/>
        <v>#N/A</v>
      </c>
      <c r="BB60" t="e">
        <f t="shared" si="63"/>
        <v>#N/A</v>
      </c>
      <c r="BC60" t="e">
        <f>IF(AND(BB$18&lt;1,AZ60&lt;=BC$18),IF(BB$18+BB60+SUMIF(BC$21:BC59,BD$18,BB$21:BB59)&lt;=1,BD$18,0))</f>
        <v>#N/A</v>
      </c>
      <c r="BD60" t="e">
        <f t="shared" si="39"/>
        <v>#N/A</v>
      </c>
      <c r="BE60" t="e">
        <f>IF(AND(BB$19&lt;1,AZ60&lt;=BC$19),IF(BB$19+BD60+SUMIF(BE$21:BE59,BD$19,BD$21:BD59)&lt;=1,BD$19,0))</f>
        <v>#N/A</v>
      </c>
      <c r="BF60" t="e">
        <f t="shared" si="40"/>
        <v>#N/A</v>
      </c>
      <c r="BG60">
        <f t="shared" si="36"/>
        <v>0</v>
      </c>
      <c r="BH60">
        <f t="shared" si="37"/>
        <v>0</v>
      </c>
      <c r="BI60">
        <f t="shared" si="43"/>
        <v>0</v>
      </c>
      <c r="BJ60" t="e">
        <f t="shared" si="41"/>
        <v>#N/A</v>
      </c>
      <c r="BK60" t="e">
        <f>IF(BJ60=0,BK59,IF(ROUNDDOWN(SUM(BJ$22:BJ60),0)=ROUNDDOWN(SUM(BJ$22:BJ59),0),BK59+BJ60,ROUNDDOWN(SUM(BJ$22:BJ60),0)+BJ60))</f>
        <v>#N/A</v>
      </c>
      <c r="BL60" t="e">
        <f t="shared" si="44"/>
        <v>#N/A</v>
      </c>
      <c r="BM60" t="e">
        <f t="shared" si="64"/>
        <v>#N/A</v>
      </c>
      <c r="BN60" t="e">
        <f t="shared" si="42"/>
        <v>#N/A</v>
      </c>
    </row>
    <row r="61" spans="1:66" x14ac:dyDescent="0.25">
      <c r="A61" t="s">
        <v>606</v>
      </c>
      <c r="B61">
        <v>1</v>
      </c>
      <c r="C61">
        <f t="shared" ref="C61:C80" si="65">_xlfn.MAXIFS(AF$4:AF$203,AM$4:AM$203,B61)+_xlfn.MAXIFS(BG$18:BG$19,BD$18:BD$19,B61)+_xlfn.MAXIFS(AZ$22:AZ$103,BL$22:BL$103,B61)</f>
        <v>0</v>
      </c>
      <c r="D61">
        <f t="shared" ref="D61:D80" si="66">SUMIFS(AE$4:AE$203,AM$4:AM$203,B61)+SUMIFS(BF$4:BF$16,BE$4:BE$16,B61)+SUMIFS(BM$22:BM$103,BN$22:BN$103,B61)</f>
        <v>0</v>
      </c>
      <c r="E61">
        <f>C61*3-D61+IF(D61&gt;G$50,-30,0)+IF(C61&gt;0,B61/100+100)</f>
        <v>0</v>
      </c>
      <c r="F61">
        <f>IF(E61&gt;0,RANK(E61,E$61:E$80),0)</f>
        <v>0</v>
      </c>
      <c r="G61">
        <f>IF(COUNTIF(C$84:G$84,B61)=0,E61,0)</f>
        <v>0</v>
      </c>
      <c r="H61">
        <f>IF(G61&gt;0,D61*2-C61+B61/100+50,0)</f>
        <v>0</v>
      </c>
      <c r="I61">
        <f>IF(H61&gt;0,RANK(H61,H$61:H$80),0)</f>
        <v>0</v>
      </c>
      <c r="J61">
        <f>IF(AND(COUNTIF(C$86:G$87,B61)=0,H61&gt;0),C61,0)</f>
        <v>0</v>
      </c>
      <c r="K61">
        <f>IF(J61&gt;0,J61*10+COUNTIF(J$61:J61,J61),0)</f>
        <v>0</v>
      </c>
      <c r="L61">
        <v>58</v>
      </c>
      <c r="M61">
        <f>_xlfn.XLOOKUP(L61,'Order Page'!X$27:X$393,'Order Page'!T$27:T$393,0)</f>
        <v>0</v>
      </c>
      <c r="N61">
        <f>_xlfn.XLOOKUP(L61,'Order Page'!X$27:X$393,'Order Page'!R$27:R$393,0)</f>
        <v>0</v>
      </c>
      <c r="O61" t="str">
        <f t="shared" si="45"/>
        <v/>
      </c>
      <c r="P61" t="str">
        <f t="shared" si="46"/>
        <v/>
      </c>
      <c r="Q61" s="263"/>
      <c r="R61">
        <v>58</v>
      </c>
      <c r="S61">
        <f t="shared" si="57"/>
        <v>1</v>
      </c>
      <c r="T61">
        <f t="shared" si="47"/>
        <v>0</v>
      </c>
      <c r="U61">
        <f>_xlfn.XLOOKUP(T61,'Order Page'!X$27:X$393,'Order Page'!U$27:U$393,"")</f>
        <v>0</v>
      </c>
      <c r="W61" t="str">
        <f t="shared" si="48"/>
        <v/>
      </c>
      <c r="X61" t="str">
        <f t="shared" si="49"/>
        <v/>
      </c>
      <c r="Y61" t="str">
        <f>_xlfn.XLOOKUP(T61,'Order Page'!X$27:X$393,'Order Page'!C$27:C$393,"")</f>
        <v>Acorus Calamus</v>
      </c>
      <c r="Z61" s="264"/>
      <c r="AA61">
        <v>58</v>
      </c>
      <c r="AB61" cm="1">
        <f t="array" ref="AB61">VLOOKUP(ROW(58:58),S$4:T$153,2)</f>
        <v>0</v>
      </c>
      <c r="AD61" t="str">
        <f t="shared" si="50"/>
        <v/>
      </c>
      <c r="AE61" t="e">
        <f t="shared" si="25"/>
        <v>#N/A</v>
      </c>
      <c r="AF61" t="str">
        <f t="shared" si="51"/>
        <v/>
      </c>
      <c r="AG61" t="str">
        <f>_xlfn.XLOOKUP(AB61,'Order Page'!X$27:X$393,'Order Page'!C$27:C$393,"")</f>
        <v>Acorus Calamus</v>
      </c>
      <c r="AH61">
        <f t="shared" si="52"/>
        <v>0</v>
      </c>
      <c r="AI61">
        <f t="shared" si="53"/>
        <v>0</v>
      </c>
      <c r="AJ61">
        <f>IF(AND(AD61&amp;AF61=AD60&amp;AF60,AH61&gt;0),AJ60+AI61,IF(AH61&gt;0,AI61,0))</f>
        <v>0</v>
      </c>
      <c r="AK61">
        <f t="shared" si="17"/>
        <v>0</v>
      </c>
      <c r="AL61">
        <f>IF(OR(AD60&amp;AF60&lt;&gt;AD61&amp;AF61,AK61&lt;AK60),AK60,0)+MAX(AL$4:AL60)</f>
        <v>0</v>
      </c>
      <c r="AM61">
        <f t="shared" si="18"/>
        <v>0</v>
      </c>
      <c r="AO61" s="25" t="str">
        <f t="shared" si="19"/>
        <v/>
      </c>
      <c r="AP61" s="25" t="str">
        <f t="shared" si="54"/>
        <v/>
      </c>
      <c r="AQ61" t="str">
        <f t="shared" si="20"/>
        <v/>
      </c>
      <c r="AR61" t="str">
        <f t="shared" si="55"/>
        <v/>
      </c>
      <c r="AS61">
        <f t="shared" si="56"/>
        <v>0</v>
      </c>
      <c r="AT61">
        <f t="shared" si="21"/>
        <v>0</v>
      </c>
      <c r="AU61" t="str">
        <f>_xlfn.XLOOKUP(AB61,'Order Page'!X$24:X$378,'Order Page'!B$24:B$378,0)</f>
        <v>x6</v>
      </c>
      <c r="AV61">
        <f>_xlfn.XLOOKUP(AB61,'Order Page'!X$24:X$378,'Order Page'!O$24:O$378,0)</f>
        <v>38</v>
      </c>
      <c r="AW61" s="264"/>
      <c r="AX61">
        <v>40</v>
      </c>
      <c r="AY61" t="e">
        <f t="shared" si="60"/>
        <v>#N/A</v>
      </c>
      <c r="AZ61" t="e">
        <f t="shared" si="61"/>
        <v>#N/A</v>
      </c>
      <c r="BA61" t="e">
        <f t="shared" si="62"/>
        <v>#N/A</v>
      </c>
      <c r="BB61" t="e">
        <f t="shared" si="63"/>
        <v>#N/A</v>
      </c>
      <c r="BC61" t="e">
        <f>IF(AND(BB$18&lt;1,AZ61&lt;=BC$18),IF(BB$18+BB61+SUMIF(BC$21:BC60,BD$18,BB$21:BB60)&lt;=1,BD$18,0))</f>
        <v>#N/A</v>
      </c>
      <c r="BD61" t="e">
        <f t="shared" si="39"/>
        <v>#N/A</v>
      </c>
      <c r="BE61" t="e">
        <f>IF(AND(BB$19&lt;1,AZ61&lt;=BC$19),IF(BB$19+BD61+SUMIF(BE$21:BE60,BD$19,BD$21:BD60)&lt;=1,BD$19,0))</f>
        <v>#N/A</v>
      </c>
      <c r="BF61" t="e">
        <f t="shared" si="40"/>
        <v>#N/A</v>
      </c>
      <c r="BG61">
        <f t="shared" si="36"/>
        <v>0</v>
      </c>
      <c r="BH61">
        <f t="shared" si="37"/>
        <v>0</v>
      </c>
      <c r="BI61">
        <f t="shared" si="43"/>
        <v>0</v>
      </c>
      <c r="BJ61" t="e">
        <f t="shared" si="41"/>
        <v>#N/A</v>
      </c>
      <c r="BK61" t="e">
        <f>IF(BJ61=0,BK60,IF(ROUNDDOWN(SUM(BJ$22:BJ61),0)=ROUNDDOWN(SUM(BJ$22:BJ60),0),BK60+BJ61,ROUNDDOWN(SUM(BJ$22:BJ61),0)+BJ61))</f>
        <v>#N/A</v>
      </c>
      <c r="BL61" t="e">
        <f t="shared" si="44"/>
        <v>#N/A</v>
      </c>
      <c r="BM61" t="e">
        <f t="shared" si="64"/>
        <v>#N/A</v>
      </c>
      <c r="BN61" t="e">
        <f t="shared" si="42"/>
        <v>#N/A</v>
      </c>
    </row>
    <row r="62" spans="1:66" x14ac:dyDescent="0.25">
      <c r="B62">
        <v>2</v>
      </c>
      <c r="C62">
        <f t="shared" si="65"/>
        <v>0</v>
      </c>
      <c r="D62">
        <f t="shared" si="66"/>
        <v>0</v>
      </c>
      <c r="E62">
        <f t="shared" ref="E62:E80" si="67">C62*3-D62+IF(D62&gt;G$50,-30,0)+IF(C62&gt;0,B62/100+100)</f>
        <v>0</v>
      </c>
      <c r="F62">
        <f t="shared" ref="F62:F80" si="68">IF(E62&gt;0,RANK(E62,E$61:E$80),0)</f>
        <v>0</v>
      </c>
      <c r="G62">
        <f t="shared" ref="G62:G80" si="69">IF(COUNTIF(C$84:G$84,B62)=0,E62,0)</f>
        <v>0</v>
      </c>
      <c r="H62">
        <f t="shared" ref="H62:H80" si="70">IF(G62&gt;0,D62*2-C62+B62/100+50,0)</f>
        <v>0</v>
      </c>
      <c r="I62">
        <f t="shared" ref="I62:I80" si="71">IF(H62&gt;0,RANK(H62,H$61:H$80),0)</f>
        <v>0</v>
      </c>
      <c r="J62">
        <f t="shared" ref="J62:J80" si="72">IF(AND(COUNTIF(C$86:G$87,B62)=0,H62&gt;0),C62,0)</f>
        <v>0</v>
      </c>
      <c r="K62">
        <f>IF(J62&gt;0,J62*10+COUNTIF(J$61:J62,J62),0)</f>
        <v>0</v>
      </c>
      <c r="L62">
        <v>59</v>
      </c>
      <c r="M62">
        <f>_xlfn.XLOOKUP(L62,'Order Page'!X$27:X$393,'Order Page'!T$27:T$393,0)</f>
        <v>0</v>
      </c>
      <c r="N62">
        <f>_xlfn.XLOOKUP(L62,'Order Page'!X$27:X$393,'Order Page'!R$27:R$393,0)</f>
        <v>0</v>
      </c>
      <c r="O62" t="str">
        <f t="shared" si="45"/>
        <v/>
      </c>
      <c r="P62" t="str">
        <f t="shared" si="46"/>
        <v/>
      </c>
      <c r="Q62" s="263"/>
      <c r="R62">
        <v>59</v>
      </c>
      <c r="S62">
        <f t="shared" si="57"/>
        <v>1</v>
      </c>
      <c r="T62">
        <f t="shared" si="47"/>
        <v>0</v>
      </c>
      <c r="U62">
        <f>_xlfn.XLOOKUP(T62,'Order Page'!X$27:X$393,'Order Page'!U$27:U$393,"")</f>
        <v>0</v>
      </c>
      <c r="W62" t="str">
        <f t="shared" si="48"/>
        <v/>
      </c>
      <c r="X62" t="str">
        <f t="shared" si="49"/>
        <v/>
      </c>
      <c r="Y62" t="str">
        <f>_xlfn.XLOOKUP(T62,'Order Page'!X$27:X$393,'Order Page'!C$27:C$393,"")</f>
        <v>Acorus Calamus</v>
      </c>
      <c r="Z62" s="264"/>
      <c r="AA62">
        <v>59</v>
      </c>
      <c r="AB62" cm="1">
        <f t="array" ref="AB62">VLOOKUP(ROW(59:59),S$4:T$153,2)</f>
        <v>0</v>
      </c>
      <c r="AD62" t="str">
        <f t="shared" si="50"/>
        <v/>
      </c>
      <c r="AE62" t="e">
        <f t="shared" si="25"/>
        <v>#N/A</v>
      </c>
      <c r="AF62" t="str">
        <f t="shared" si="51"/>
        <v/>
      </c>
      <c r="AG62" t="str">
        <f>_xlfn.XLOOKUP(AB62,'Order Page'!X$27:X$393,'Order Page'!C$27:C$393,"")</f>
        <v>Acorus Calamus</v>
      </c>
      <c r="AH62">
        <f t="shared" si="52"/>
        <v>0</v>
      </c>
      <c r="AI62">
        <f t="shared" si="53"/>
        <v>0</v>
      </c>
      <c r="AJ62">
        <f t="shared" si="27"/>
        <v>0</v>
      </c>
      <c r="AK62">
        <f t="shared" si="17"/>
        <v>0</v>
      </c>
      <c r="AL62">
        <f>IF(OR(AD61&amp;AF61&lt;&gt;AD62&amp;AF62,AK62&lt;AK61),AK61,0)+MAX(AL$4:AL61)</f>
        <v>0</v>
      </c>
      <c r="AM62">
        <f t="shared" si="18"/>
        <v>0</v>
      </c>
      <c r="AO62" s="25" t="str">
        <f t="shared" si="19"/>
        <v/>
      </c>
      <c r="AP62" s="25" t="str">
        <f t="shared" si="54"/>
        <v/>
      </c>
      <c r="AQ62" t="str">
        <f t="shared" si="20"/>
        <v/>
      </c>
      <c r="AR62" t="str">
        <f t="shared" si="55"/>
        <v/>
      </c>
      <c r="AS62">
        <f t="shared" si="56"/>
        <v>0</v>
      </c>
      <c r="AT62">
        <f t="shared" si="21"/>
        <v>0</v>
      </c>
      <c r="AU62" t="str">
        <f>_xlfn.XLOOKUP(AB62,'Order Page'!X$24:X$378,'Order Page'!B$24:B$378,0)</f>
        <v>x6</v>
      </c>
      <c r="AV62">
        <f>_xlfn.XLOOKUP(AB62,'Order Page'!X$24:X$378,'Order Page'!O$24:O$378,0)</f>
        <v>38</v>
      </c>
      <c r="AW62" s="264"/>
      <c r="AX62">
        <v>41</v>
      </c>
      <c r="AY62" t="e">
        <f t="shared" si="60"/>
        <v>#N/A</v>
      </c>
      <c r="AZ62" t="e">
        <f t="shared" si="61"/>
        <v>#N/A</v>
      </c>
      <c r="BA62" t="e">
        <f t="shared" si="62"/>
        <v>#N/A</v>
      </c>
      <c r="BB62" t="e">
        <f t="shared" si="63"/>
        <v>#N/A</v>
      </c>
      <c r="BC62" t="e">
        <f>IF(AND(BB$18&lt;1,AZ62&lt;=BC$18),IF(BB$18+BB62+SUMIF(BC$21:BC61,BD$18,BB$21:BB61)&lt;=1,BD$18,0))</f>
        <v>#N/A</v>
      </c>
      <c r="BD62" t="e">
        <f t="shared" si="39"/>
        <v>#N/A</v>
      </c>
      <c r="BE62" t="e">
        <f>IF(AND(BB$19&lt;1,AZ62&lt;=BC$19),IF(BB$19+BD62+SUMIF(BE$21:BE61,BD$19,BD$21:BD61)&lt;=1,BD$19,0))</f>
        <v>#N/A</v>
      </c>
      <c r="BF62" t="e">
        <f t="shared" si="40"/>
        <v>#N/A</v>
      </c>
      <c r="BG62">
        <f t="shared" si="36"/>
        <v>0</v>
      </c>
      <c r="BH62">
        <f t="shared" si="37"/>
        <v>0</v>
      </c>
      <c r="BI62">
        <f t="shared" si="43"/>
        <v>0</v>
      </c>
      <c r="BJ62" t="e">
        <f t="shared" si="41"/>
        <v>#N/A</v>
      </c>
      <c r="BK62" t="e">
        <f>IF(BJ62=0,BK61,IF(ROUNDDOWN(SUM(BJ$22:BJ62),0)=ROUNDDOWN(SUM(BJ$22:BJ61),0),BK61+BJ62,ROUNDDOWN(SUM(BJ$22:BJ62),0)+BJ62))</f>
        <v>#N/A</v>
      </c>
      <c r="BL62" t="e">
        <f t="shared" si="44"/>
        <v>#N/A</v>
      </c>
      <c r="BM62" t="e">
        <f t="shared" si="64"/>
        <v>#N/A</v>
      </c>
      <c r="BN62" t="e">
        <f t="shared" si="42"/>
        <v>#N/A</v>
      </c>
    </row>
    <row r="63" spans="1:66" x14ac:dyDescent="0.25">
      <c r="B63">
        <v>3</v>
      </c>
      <c r="C63">
        <f t="shared" si="65"/>
        <v>0</v>
      </c>
      <c r="D63">
        <f t="shared" si="66"/>
        <v>0</v>
      </c>
      <c r="E63">
        <f t="shared" si="67"/>
        <v>0</v>
      </c>
      <c r="F63">
        <f t="shared" si="68"/>
        <v>0</v>
      </c>
      <c r="G63">
        <f t="shared" si="69"/>
        <v>0</v>
      </c>
      <c r="H63">
        <f t="shared" si="70"/>
        <v>0</v>
      </c>
      <c r="I63">
        <f t="shared" si="71"/>
        <v>0</v>
      </c>
      <c r="J63">
        <f t="shared" si="72"/>
        <v>0</v>
      </c>
      <c r="K63">
        <f>IF(J63&gt;0,J63*10+COUNTIF(J$61:J63,J63),0)</f>
        <v>0</v>
      </c>
      <c r="L63">
        <v>60</v>
      </c>
      <c r="M63">
        <f>_xlfn.XLOOKUP(L63,'Order Page'!X$27:X$393,'Order Page'!T$27:T$393,0)</f>
        <v>0</v>
      </c>
      <c r="N63">
        <f>_xlfn.XLOOKUP(L63,'Order Page'!X$27:X$393,'Order Page'!R$27:R$393,0)</f>
        <v>0</v>
      </c>
      <c r="O63" t="str">
        <f t="shared" si="45"/>
        <v/>
      </c>
      <c r="P63" t="str">
        <f t="shared" si="46"/>
        <v/>
      </c>
      <c r="Q63" s="263"/>
      <c r="R63">
        <v>60</v>
      </c>
      <c r="S63">
        <f t="shared" si="57"/>
        <v>1</v>
      </c>
      <c r="T63">
        <f t="shared" si="47"/>
        <v>0</v>
      </c>
      <c r="U63">
        <f>_xlfn.XLOOKUP(T63,'Order Page'!X$27:X$393,'Order Page'!U$27:U$393,"")</f>
        <v>0</v>
      </c>
      <c r="W63" t="str">
        <f t="shared" si="48"/>
        <v/>
      </c>
      <c r="X63" t="str">
        <f t="shared" si="49"/>
        <v/>
      </c>
      <c r="Y63" t="str">
        <f>_xlfn.XLOOKUP(T63,'Order Page'!X$27:X$393,'Order Page'!C$27:C$393,"")</f>
        <v>Acorus Calamus</v>
      </c>
      <c r="Z63" s="264"/>
      <c r="AA63">
        <v>60</v>
      </c>
      <c r="AB63" cm="1">
        <f t="array" ref="AB63">VLOOKUP(ROW(60:60),S$4:T$153,2)</f>
        <v>0</v>
      </c>
      <c r="AD63" t="str">
        <f t="shared" si="50"/>
        <v/>
      </c>
      <c r="AE63" t="e">
        <f t="shared" si="25"/>
        <v>#N/A</v>
      </c>
      <c r="AF63" t="str">
        <f t="shared" si="51"/>
        <v/>
      </c>
      <c r="AG63" t="str">
        <f>_xlfn.XLOOKUP(AB63,'Order Page'!X$27:X$393,'Order Page'!C$27:C$393,"")</f>
        <v>Acorus Calamus</v>
      </c>
      <c r="AH63">
        <f t="shared" si="52"/>
        <v>0</v>
      </c>
      <c r="AI63">
        <f t="shared" si="53"/>
        <v>0</v>
      </c>
      <c r="AJ63">
        <f t="shared" si="27"/>
        <v>0</v>
      </c>
      <c r="AK63">
        <f t="shared" si="17"/>
        <v>0</v>
      </c>
      <c r="AL63">
        <f>IF(OR(AD62&amp;AF62&lt;&gt;AD63&amp;AF63,AK63&lt;AK62),AK62,0)+MAX(AL$4:AL62)</f>
        <v>0</v>
      </c>
      <c r="AM63">
        <f t="shared" si="18"/>
        <v>0</v>
      </c>
      <c r="AO63" s="25" t="str">
        <f t="shared" si="19"/>
        <v/>
      </c>
      <c r="AP63" s="25" t="str">
        <f t="shared" si="54"/>
        <v/>
      </c>
      <c r="AQ63" t="str">
        <f t="shared" si="20"/>
        <v/>
      </c>
      <c r="AR63" t="str">
        <f t="shared" si="55"/>
        <v/>
      </c>
      <c r="AS63">
        <f t="shared" si="56"/>
        <v>0</v>
      </c>
      <c r="AT63">
        <f t="shared" si="21"/>
        <v>0</v>
      </c>
      <c r="AU63" t="str">
        <f>_xlfn.XLOOKUP(AB63,'Order Page'!X$24:X$378,'Order Page'!B$24:B$378,0)</f>
        <v>x6</v>
      </c>
      <c r="AV63">
        <f>_xlfn.XLOOKUP(AB63,'Order Page'!X$24:X$378,'Order Page'!O$24:O$378,0)</f>
        <v>38</v>
      </c>
      <c r="AW63" s="264"/>
      <c r="AX63">
        <v>42</v>
      </c>
      <c r="AY63" t="e">
        <f t="shared" si="60"/>
        <v>#N/A</v>
      </c>
      <c r="AZ63" t="e">
        <f t="shared" si="61"/>
        <v>#N/A</v>
      </c>
      <c r="BA63" t="e">
        <f t="shared" si="62"/>
        <v>#N/A</v>
      </c>
      <c r="BB63" t="e">
        <f t="shared" si="63"/>
        <v>#N/A</v>
      </c>
      <c r="BC63" t="e">
        <f>IF(AND(BB$18&lt;1,AZ63&lt;=BC$18),IF(BB$18+BB63+SUMIF(BC$21:BC62,BD$18,BB$21:BB62)&lt;=1,BD$18,0))</f>
        <v>#N/A</v>
      </c>
      <c r="BD63" t="e">
        <f t="shared" si="39"/>
        <v>#N/A</v>
      </c>
      <c r="BE63" t="e">
        <f>IF(AND(BB$19&lt;1,AZ63&lt;=BC$19),IF(BB$19+BD63+SUMIF(BE$21:BE62,BD$19,BD$21:BD62)&lt;=1,BD$19,0))</f>
        <v>#N/A</v>
      </c>
      <c r="BF63" t="e">
        <f t="shared" si="40"/>
        <v>#N/A</v>
      </c>
      <c r="BG63">
        <f t="shared" si="36"/>
        <v>0</v>
      </c>
      <c r="BH63">
        <f t="shared" si="37"/>
        <v>0</v>
      </c>
      <c r="BI63">
        <f t="shared" si="43"/>
        <v>0</v>
      </c>
      <c r="BJ63" t="e">
        <f t="shared" si="41"/>
        <v>#N/A</v>
      </c>
      <c r="BK63" t="e">
        <f>IF(BJ63=0,BK62,IF(ROUNDDOWN(SUM(BJ$22:BJ63),0)=ROUNDDOWN(SUM(BJ$22:BJ62),0),BK62+BJ63,ROUNDDOWN(SUM(BJ$22:BJ63),0)+BJ63))</f>
        <v>#N/A</v>
      </c>
      <c r="BL63" t="e">
        <f t="shared" si="44"/>
        <v>#N/A</v>
      </c>
      <c r="BM63" t="e">
        <f t="shared" si="64"/>
        <v>#N/A</v>
      </c>
      <c r="BN63" t="e">
        <f t="shared" si="42"/>
        <v>#N/A</v>
      </c>
    </row>
    <row r="64" spans="1:66" x14ac:dyDescent="0.25">
      <c r="B64">
        <v>4</v>
      </c>
      <c r="C64">
        <f t="shared" si="65"/>
        <v>0</v>
      </c>
      <c r="D64">
        <f t="shared" si="66"/>
        <v>0</v>
      </c>
      <c r="E64">
        <f t="shared" si="67"/>
        <v>0</v>
      </c>
      <c r="F64">
        <f t="shared" si="68"/>
        <v>0</v>
      </c>
      <c r="G64">
        <f t="shared" si="69"/>
        <v>0</v>
      </c>
      <c r="H64">
        <f t="shared" si="70"/>
        <v>0</v>
      </c>
      <c r="I64">
        <f t="shared" si="71"/>
        <v>0</v>
      </c>
      <c r="J64">
        <f t="shared" si="72"/>
        <v>0</v>
      </c>
      <c r="K64">
        <f>IF(J64&gt;0,J64*10+COUNTIF(J$61:J64,J64),0)</f>
        <v>0</v>
      </c>
      <c r="L64">
        <v>61</v>
      </c>
      <c r="M64">
        <f>_xlfn.XLOOKUP(L64,'Order Page'!X$27:X$393,'Order Page'!T$27:T$393,0)</f>
        <v>0</v>
      </c>
      <c r="N64">
        <f>_xlfn.XLOOKUP(L64,'Order Page'!X$27:X$393,'Order Page'!R$27:R$393,0)</f>
        <v>0</v>
      </c>
      <c r="O64" t="str">
        <f t="shared" si="45"/>
        <v/>
      </c>
      <c r="P64" t="str">
        <f t="shared" si="46"/>
        <v/>
      </c>
      <c r="Q64" s="263"/>
      <c r="R64">
        <v>61</v>
      </c>
      <c r="S64">
        <f t="shared" si="57"/>
        <v>1</v>
      </c>
      <c r="T64">
        <f t="shared" si="47"/>
        <v>0</v>
      </c>
      <c r="U64">
        <f>_xlfn.XLOOKUP(T64,'Order Page'!X$27:X$393,'Order Page'!U$27:U$393,"")</f>
        <v>0</v>
      </c>
      <c r="W64" t="str">
        <f t="shared" si="48"/>
        <v/>
      </c>
      <c r="X64" t="str">
        <f t="shared" si="49"/>
        <v/>
      </c>
      <c r="Y64" t="str">
        <f>_xlfn.XLOOKUP(T64,'Order Page'!X$27:X$393,'Order Page'!C$27:C$393,"")</f>
        <v>Acorus Calamus</v>
      </c>
      <c r="Z64" s="264"/>
      <c r="AA64">
        <v>61</v>
      </c>
      <c r="AB64" cm="1">
        <f t="array" ref="AB64">VLOOKUP(ROW(61:61),S$4:T$153,2)</f>
        <v>0</v>
      </c>
      <c r="AD64" t="str">
        <f t="shared" si="50"/>
        <v/>
      </c>
      <c r="AE64" t="e">
        <f t="shared" si="25"/>
        <v>#N/A</v>
      </c>
      <c r="AF64" t="str">
        <f t="shared" si="51"/>
        <v/>
      </c>
      <c r="AG64" t="str">
        <f>_xlfn.XLOOKUP(AB64,'Order Page'!X$27:X$393,'Order Page'!C$27:C$393,"")</f>
        <v>Acorus Calamus</v>
      </c>
      <c r="AH64">
        <f t="shared" si="52"/>
        <v>0</v>
      </c>
      <c r="AI64">
        <f t="shared" si="53"/>
        <v>0</v>
      </c>
      <c r="AJ64">
        <f t="shared" si="27"/>
        <v>0</v>
      </c>
      <c r="AK64">
        <f t="shared" si="17"/>
        <v>0</v>
      </c>
      <c r="AL64">
        <f>IF(OR(AD63&amp;AF63&lt;&gt;AD64&amp;AF64,AK64&lt;AK63),AK63,0)+MAX(AL$4:AL63)</f>
        <v>0</v>
      </c>
      <c r="AM64">
        <f t="shared" si="18"/>
        <v>0</v>
      </c>
      <c r="AO64" s="25" t="str">
        <f t="shared" si="19"/>
        <v/>
      </c>
      <c r="AP64" s="25" t="str">
        <f t="shared" si="54"/>
        <v/>
      </c>
      <c r="AQ64" t="str">
        <f t="shared" si="20"/>
        <v/>
      </c>
      <c r="AR64" t="str">
        <f t="shared" si="55"/>
        <v/>
      </c>
      <c r="AS64">
        <f t="shared" si="56"/>
        <v>0</v>
      </c>
      <c r="AT64">
        <f t="shared" si="21"/>
        <v>0</v>
      </c>
      <c r="AU64" t="str">
        <f>_xlfn.XLOOKUP(AB64,'Order Page'!X$24:X$378,'Order Page'!B$24:B$378,0)</f>
        <v>x6</v>
      </c>
      <c r="AV64">
        <f>_xlfn.XLOOKUP(AB64,'Order Page'!X$24:X$378,'Order Page'!O$24:O$378,0)</f>
        <v>38</v>
      </c>
      <c r="AW64" s="264"/>
      <c r="AX64">
        <v>43</v>
      </c>
      <c r="AY64" t="e">
        <f t="shared" si="60"/>
        <v>#N/A</v>
      </c>
      <c r="AZ64" t="e">
        <f t="shared" si="61"/>
        <v>#N/A</v>
      </c>
      <c r="BA64" t="e">
        <f t="shared" si="62"/>
        <v>#N/A</v>
      </c>
      <c r="BB64" t="e">
        <f t="shared" si="63"/>
        <v>#N/A</v>
      </c>
      <c r="BC64" t="e">
        <f>IF(AND(BB$18&lt;1,AZ64&lt;=BC$18),IF(BB$18+BB64+SUMIF(BC$21:BC63,BD$18,BB$21:BB63)&lt;=1,BD$18,0))</f>
        <v>#N/A</v>
      </c>
      <c r="BD64" t="e">
        <f t="shared" si="39"/>
        <v>#N/A</v>
      </c>
      <c r="BE64" t="e">
        <f>IF(AND(BB$19&lt;1,AZ64&lt;=BC$19),IF(BB$19+BD64+SUMIF(BE$21:BE63,BD$19,BD$21:BD63)&lt;=1,BD$19,0))</f>
        <v>#N/A</v>
      </c>
      <c r="BF64" t="e">
        <f t="shared" si="40"/>
        <v>#N/A</v>
      </c>
      <c r="BG64">
        <f t="shared" si="36"/>
        <v>0</v>
      </c>
      <c r="BH64">
        <f t="shared" si="37"/>
        <v>0</v>
      </c>
      <c r="BI64">
        <f t="shared" si="43"/>
        <v>0</v>
      </c>
      <c r="BJ64" t="e">
        <f t="shared" si="41"/>
        <v>#N/A</v>
      </c>
      <c r="BK64" t="e">
        <f>IF(BJ64=0,BK63,IF(ROUNDDOWN(SUM(BJ$22:BJ64),0)=ROUNDDOWN(SUM(BJ$22:BJ63),0),BK63+BJ64,ROUNDDOWN(SUM(BJ$22:BJ64),0)+BJ64))</f>
        <v>#N/A</v>
      </c>
      <c r="BL64" t="e">
        <f t="shared" si="44"/>
        <v>#N/A</v>
      </c>
      <c r="BM64" t="e">
        <f t="shared" si="64"/>
        <v>#N/A</v>
      </c>
      <c r="BN64" t="e">
        <f t="shared" si="42"/>
        <v>#N/A</v>
      </c>
    </row>
    <row r="65" spans="2:66" x14ac:dyDescent="0.25">
      <c r="B65">
        <v>5</v>
      </c>
      <c r="C65">
        <f t="shared" si="65"/>
        <v>0</v>
      </c>
      <c r="D65">
        <f t="shared" si="66"/>
        <v>0</v>
      </c>
      <c r="E65">
        <f t="shared" si="67"/>
        <v>0</v>
      </c>
      <c r="F65">
        <f t="shared" si="68"/>
        <v>0</v>
      </c>
      <c r="G65">
        <f t="shared" si="69"/>
        <v>0</v>
      </c>
      <c r="H65">
        <f>IF(G65&gt;0,D65*2-C65+B65/100+50,0)</f>
        <v>0</v>
      </c>
      <c r="I65">
        <f t="shared" si="71"/>
        <v>0</v>
      </c>
      <c r="J65">
        <f t="shared" si="72"/>
        <v>0</v>
      </c>
      <c r="K65">
        <f>IF(J65&gt;0,J65*10+COUNTIF(J$61:J65,J65),0)</f>
        <v>0</v>
      </c>
      <c r="L65">
        <v>62</v>
      </c>
      <c r="M65">
        <f>_xlfn.XLOOKUP(L65,'Order Page'!X$27:X$393,'Order Page'!T$27:T$393,0)</f>
        <v>0</v>
      </c>
      <c r="N65">
        <f>_xlfn.XLOOKUP(L65,'Order Page'!X$27:X$393,'Order Page'!R$27:R$393,0)</f>
        <v>0</v>
      </c>
      <c r="O65" t="str">
        <f t="shared" si="45"/>
        <v/>
      </c>
      <c r="P65" t="str">
        <f t="shared" si="46"/>
        <v/>
      </c>
      <c r="Q65" s="263"/>
      <c r="R65">
        <v>62</v>
      </c>
      <c r="S65">
        <f t="shared" si="57"/>
        <v>1</v>
      </c>
      <c r="T65">
        <f t="shared" si="47"/>
        <v>0</v>
      </c>
      <c r="U65">
        <f>_xlfn.XLOOKUP(T65,'Order Page'!X$27:X$393,'Order Page'!U$27:U$393,"")</f>
        <v>0</v>
      </c>
      <c r="W65" t="str">
        <f t="shared" si="48"/>
        <v/>
      </c>
      <c r="X65" t="str">
        <f t="shared" si="49"/>
        <v/>
      </c>
      <c r="Y65" t="str">
        <f>_xlfn.XLOOKUP(T65,'Order Page'!X$27:X$393,'Order Page'!C$27:C$393,"")</f>
        <v>Acorus Calamus</v>
      </c>
      <c r="Z65" s="264"/>
      <c r="AA65">
        <v>62</v>
      </c>
      <c r="AB65" cm="1">
        <f t="array" ref="AB65">VLOOKUP(ROW(62:62),S$4:T$153,2)</f>
        <v>0</v>
      </c>
      <c r="AD65" t="str">
        <f t="shared" si="50"/>
        <v/>
      </c>
      <c r="AE65" t="e">
        <f t="shared" si="25"/>
        <v>#N/A</v>
      </c>
      <c r="AF65" t="str">
        <f t="shared" si="51"/>
        <v/>
      </c>
      <c r="AG65" t="str">
        <f>_xlfn.XLOOKUP(AB65,'Order Page'!X$27:X$393,'Order Page'!C$27:C$393,"")</f>
        <v>Acorus Calamus</v>
      </c>
      <c r="AH65">
        <f t="shared" si="52"/>
        <v>0</v>
      </c>
      <c r="AI65">
        <f t="shared" si="53"/>
        <v>0</v>
      </c>
      <c r="AJ65">
        <f t="shared" si="27"/>
        <v>0</v>
      </c>
      <c r="AK65">
        <f t="shared" si="17"/>
        <v>0</v>
      </c>
      <c r="AL65">
        <f>IF(OR(AD64&amp;AF64&lt;&gt;AD65&amp;AF65,AK65&lt;AK64),AK64,0)+MAX(AL$4:AL64)</f>
        <v>0</v>
      </c>
      <c r="AM65">
        <f t="shared" si="18"/>
        <v>0</v>
      </c>
      <c r="AO65" s="25" t="str">
        <f t="shared" si="19"/>
        <v/>
      </c>
      <c r="AP65" s="25" t="str">
        <f t="shared" si="54"/>
        <v/>
      </c>
      <c r="AQ65" t="str">
        <f t="shared" si="20"/>
        <v/>
      </c>
      <c r="AR65" t="str">
        <f t="shared" si="55"/>
        <v/>
      </c>
      <c r="AS65">
        <f t="shared" si="56"/>
        <v>0</v>
      </c>
      <c r="AT65">
        <f t="shared" si="21"/>
        <v>0</v>
      </c>
      <c r="AU65" t="str">
        <f>_xlfn.XLOOKUP(AB65,'Order Page'!X$24:X$378,'Order Page'!B$24:B$378,0)</f>
        <v>x6</v>
      </c>
      <c r="AV65">
        <f>_xlfn.XLOOKUP(AB65,'Order Page'!X$24:X$378,'Order Page'!O$24:O$378,0)</f>
        <v>38</v>
      </c>
      <c r="AW65" s="264"/>
      <c r="AX65">
        <v>44</v>
      </c>
      <c r="AY65" t="e">
        <f t="shared" si="60"/>
        <v>#N/A</v>
      </c>
      <c r="AZ65" t="e">
        <f t="shared" si="61"/>
        <v>#N/A</v>
      </c>
      <c r="BA65" t="e">
        <f t="shared" si="62"/>
        <v>#N/A</v>
      </c>
      <c r="BB65" t="e">
        <f t="shared" si="63"/>
        <v>#N/A</v>
      </c>
      <c r="BC65" t="e">
        <f>IF(AND(BB$18&lt;1,AZ65&lt;=BC$18),IF(BB$18+BB65+SUMIF(BC$21:BC64,BD$18,BB$21:BB64)&lt;=1,BD$18,0))</f>
        <v>#N/A</v>
      </c>
      <c r="BD65" t="e">
        <f t="shared" si="39"/>
        <v>#N/A</v>
      </c>
      <c r="BE65" t="e">
        <f>IF(AND(BB$19&lt;1,AZ65&lt;=BC$19),IF(BB$19+BD65+SUMIF(BE$21:BE64,BD$19,BD$21:BD64)&lt;=1,BD$19,0))</f>
        <v>#N/A</v>
      </c>
      <c r="BF65" t="e">
        <f t="shared" si="40"/>
        <v>#N/A</v>
      </c>
      <c r="BG65">
        <f t="shared" si="36"/>
        <v>0</v>
      </c>
      <c r="BH65">
        <f t="shared" si="37"/>
        <v>0</v>
      </c>
      <c r="BI65">
        <f t="shared" si="43"/>
        <v>0</v>
      </c>
      <c r="BJ65" t="e">
        <f t="shared" si="41"/>
        <v>#N/A</v>
      </c>
      <c r="BK65" t="e">
        <f>IF(BJ65=0,BK64,IF(ROUNDDOWN(SUM(BJ$22:BJ65),0)=ROUNDDOWN(SUM(BJ$22:BJ64),0),BK64+BJ65,ROUNDDOWN(SUM(BJ$22:BJ65),0)+BJ65))</f>
        <v>#N/A</v>
      </c>
      <c r="BL65" t="e">
        <f t="shared" si="44"/>
        <v>#N/A</v>
      </c>
      <c r="BM65" t="e">
        <f t="shared" si="64"/>
        <v>#N/A</v>
      </c>
      <c r="BN65" t="e">
        <f t="shared" si="42"/>
        <v>#N/A</v>
      </c>
    </row>
    <row r="66" spans="2:66" x14ac:dyDescent="0.25">
      <c r="B66">
        <v>6</v>
      </c>
      <c r="C66">
        <f t="shared" si="65"/>
        <v>0</v>
      </c>
      <c r="D66">
        <f t="shared" si="66"/>
        <v>0</v>
      </c>
      <c r="E66">
        <f t="shared" si="67"/>
        <v>0</v>
      </c>
      <c r="F66">
        <f t="shared" si="68"/>
        <v>0</v>
      </c>
      <c r="G66">
        <f t="shared" si="69"/>
        <v>0</v>
      </c>
      <c r="H66">
        <f t="shared" si="70"/>
        <v>0</v>
      </c>
      <c r="I66">
        <f t="shared" si="71"/>
        <v>0</v>
      </c>
      <c r="J66">
        <f t="shared" si="72"/>
        <v>0</v>
      </c>
      <c r="K66">
        <f>IF(J66&gt;0,J66*10+COUNTIF(J$61:J66,J66),0)</f>
        <v>0</v>
      </c>
      <c r="L66">
        <v>63</v>
      </c>
      <c r="M66">
        <f>_xlfn.XLOOKUP(L66,'Order Page'!X$27:X$393,'Order Page'!T$27:T$393,0)</f>
        <v>0</v>
      </c>
      <c r="N66">
        <f>_xlfn.XLOOKUP(L66,'Order Page'!X$27:X$393,'Order Page'!R$27:R$393,0)</f>
        <v>0</v>
      </c>
      <c r="O66" t="str">
        <f t="shared" si="45"/>
        <v/>
      </c>
      <c r="P66" t="str">
        <f t="shared" si="46"/>
        <v/>
      </c>
      <c r="Q66" s="263"/>
      <c r="R66">
        <v>63</v>
      </c>
      <c r="S66">
        <f t="shared" si="57"/>
        <v>1</v>
      </c>
      <c r="T66">
        <f t="shared" si="47"/>
        <v>0</v>
      </c>
      <c r="U66">
        <f>_xlfn.XLOOKUP(T66,'Order Page'!X$27:X$393,'Order Page'!U$27:U$393,"")</f>
        <v>0</v>
      </c>
      <c r="W66" t="str">
        <f t="shared" si="48"/>
        <v/>
      </c>
      <c r="X66" t="str">
        <f t="shared" si="49"/>
        <v/>
      </c>
      <c r="Y66" t="str">
        <f>_xlfn.XLOOKUP(T66,'Order Page'!X$27:X$393,'Order Page'!C$27:C$393,"")</f>
        <v>Acorus Calamus</v>
      </c>
      <c r="Z66" s="264"/>
      <c r="AA66">
        <v>63</v>
      </c>
      <c r="AB66" cm="1">
        <f t="array" ref="AB66">VLOOKUP(ROW(63:63),S$4:T$153,2)</f>
        <v>0</v>
      </c>
      <c r="AD66" t="str">
        <f t="shared" si="50"/>
        <v/>
      </c>
      <c r="AE66" t="e">
        <f t="shared" si="25"/>
        <v>#N/A</v>
      </c>
      <c r="AF66" t="str">
        <f t="shared" si="51"/>
        <v/>
      </c>
      <c r="AG66" t="str">
        <f>_xlfn.XLOOKUP(AB66,'Order Page'!X$27:X$393,'Order Page'!C$27:C$393,"")</f>
        <v>Acorus Calamus</v>
      </c>
      <c r="AH66">
        <f t="shared" si="52"/>
        <v>0</v>
      </c>
      <c r="AI66">
        <f t="shared" si="53"/>
        <v>0</v>
      </c>
      <c r="AJ66">
        <f t="shared" si="27"/>
        <v>0</v>
      </c>
      <c r="AK66">
        <f t="shared" si="17"/>
        <v>0</v>
      </c>
      <c r="AL66">
        <f>IF(OR(AD65&amp;AF65&lt;&gt;AD66&amp;AF66,AK66&lt;AK65),AK65,0)+MAX(AL$4:AL65)</f>
        <v>0</v>
      </c>
      <c r="AM66">
        <f t="shared" si="18"/>
        <v>0</v>
      </c>
      <c r="AO66" s="25" t="str">
        <f t="shared" si="19"/>
        <v/>
      </c>
      <c r="AP66" s="25" t="str">
        <f t="shared" si="54"/>
        <v/>
      </c>
      <c r="AQ66" t="str">
        <f t="shared" si="20"/>
        <v/>
      </c>
      <c r="AR66" t="str">
        <f t="shared" si="55"/>
        <v/>
      </c>
      <c r="AS66">
        <f t="shared" si="56"/>
        <v>0</v>
      </c>
      <c r="AT66">
        <f t="shared" si="21"/>
        <v>0</v>
      </c>
      <c r="AU66" t="str">
        <f>_xlfn.XLOOKUP(AB66,'Order Page'!X$24:X$378,'Order Page'!B$24:B$378,0)</f>
        <v>x6</v>
      </c>
      <c r="AV66">
        <f>_xlfn.XLOOKUP(AB66,'Order Page'!X$24:X$378,'Order Page'!O$24:O$378,0)</f>
        <v>38</v>
      </c>
      <c r="AW66" s="264"/>
      <c r="AX66">
        <v>45</v>
      </c>
      <c r="AY66" t="e">
        <f t="shared" si="60"/>
        <v>#N/A</v>
      </c>
      <c r="AZ66" t="e">
        <f t="shared" si="61"/>
        <v>#N/A</v>
      </c>
      <c r="BA66" t="e">
        <f t="shared" si="62"/>
        <v>#N/A</v>
      </c>
      <c r="BB66" t="e">
        <f t="shared" si="63"/>
        <v>#N/A</v>
      </c>
      <c r="BC66" t="e">
        <f>IF(AND(BB$18&lt;1,AZ66&lt;=BC$18),IF(BB$18+BB66+SUMIF(BC$21:BC65,BD$18,BB$21:BB65)&lt;=1,BD$18,0))</f>
        <v>#N/A</v>
      </c>
      <c r="BD66" t="e">
        <f t="shared" si="39"/>
        <v>#N/A</v>
      </c>
      <c r="BE66" t="e">
        <f>IF(AND(BB$19&lt;1,AZ66&lt;=BC$19),IF(BB$19+BD66+SUMIF(BE$21:BE65,BD$19,BD$21:BD65)&lt;=1,BD$19,0))</f>
        <v>#N/A</v>
      </c>
      <c r="BF66" t="e">
        <f t="shared" si="40"/>
        <v>#N/A</v>
      </c>
      <c r="BG66">
        <f t="shared" si="36"/>
        <v>0</v>
      </c>
      <c r="BH66">
        <f t="shared" si="37"/>
        <v>0</v>
      </c>
      <c r="BI66">
        <f t="shared" si="43"/>
        <v>0</v>
      </c>
      <c r="BJ66" t="e">
        <f t="shared" si="41"/>
        <v>#N/A</v>
      </c>
      <c r="BK66" t="e">
        <f>IF(BJ66=0,BK65,IF(ROUNDDOWN(SUM(BJ$22:BJ66),0)=ROUNDDOWN(SUM(BJ$22:BJ65),0),BK65+BJ66,ROUNDDOWN(SUM(BJ$22:BJ66),0)+BJ66))</f>
        <v>#N/A</v>
      </c>
      <c r="BL66" t="e">
        <f t="shared" si="44"/>
        <v>#N/A</v>
      </c>
      <c r="BM66" t="e">
        <f t="shared" si="64"/>
        <v>#N/A</v>
      </c>
      <c r="BN66" t="e">
        <f t="shared" si="42"/>
        <v>#N/A</v>
      </c>
    </row>
    <row r="67" spans="2:66" x14ac:dyDescent="0.25">
      <c r="B67">
        <v>7</v>
      </c>
      <c r="C67">
        <f t="shared" si="65"/>
        <v>0</v>
      </c>
      <c r="D67">
        <f t="shared" si="66"/>
        <v>0</v>
      </c>
      <c r="E67">
        <f t="shared" si="67"/>
        <v>0</v>
      </c>
      <c r="F67">
        <f t="shared" si="68"/>
        <v>0</v>
      </c>
      <c r="G67">
        <f t="shared" si="69"/>
        <v>0</v>
      </c>
      <c r="H67">
        <f t="shared" si="70"/>
        <v>0</v>
      </c>
      <c r="I67">
        <f t="shared" si="71"/>
        <v>0</v>
      </c>
      <c r="J67">
        <f t="shared" si="72"/>
        <v>0</v>
      </c>
      <c r="K67">
        <f>IF(J67&gt;0,J67*10+COUNTIF(J$61:J67,J67),0)</f>
        <v>0</v>
      </c>
      <c r="L67">
        <v>64</v>
      </c>
      <c r="M67">
        <f>_xlfn.XLOOKUP(L67,'Order Page'!X$27:X$393,'Order Page'!T$27:T$393,0)</f>
        <v>0</v>
      </c>
      <c r="N67">
        <f>_xlfn.XLOOKUP(L67,'Order Page'!X$27:X$393,'Order Page'!R$27:R$393,0)</f>
        <v>0</v>
      </c>
      <c r="O67" t="str">
        <f t="shared" si="45"/>
        <v/>
      </c>
      <c r="P67" t="str">
        <f t="shared" si="46"/>
        <v/>
      </c>
      <c r="Q67" s="263"/>
      <c r="R67">
        <v>64</v>
      </c>
      <c r="S67">
        <f t="shared" si="57"/>
        <v>1</v>
      </c>
      <c r="T67">
        <f t="shared" si="47"/>
        <v>0</v>
      </c>
      <c r="U67">
        <f>_xlfn.XLOOKUP(T67,'Order Page'!X$27:X$393,'Order Page'!U$27:U$393,"")</f>
        <v>0</v>
      </c>
      <c r="W67" t="str">
        <f t="shared" si="48"/>
        <v/>
      </c>
      <c r="X67" t="str">
        <f t="shared" si="49"/>
        <v/>
      </c>
      <c r="Y67" t="str">
        <f>_xlfn.XLOOKUP(T67,'Order Page'!X$27:X$393,'Order Page'!C$27:C$393,"")</f>
        <v>Acorus Calamus</v>
      </c>
      <c r="Z67" s="264"/>
      <c r="AA67">
        <v>64</v>
      </c>
      <c r="AB67" cm="1">
        <f t="array" ref="AB67">VLOOKUP(ROW(64:64),S$4:T$153,2)</f>
        <v>0</v>
      </c>
      <c r="AD67" t="str">
        <f t="shared" si="50"/>
        <v/>
      </c>
      <c r="AE67" t="e">
        <f t="shared" si="25"/>
        <v>#N/A</v>
      </c>
      <c r="AF67" t="str">
        <f t="shared" si="51"/>
        <v/>
      </c>
      <c r="AG67" t="str">
        <f>_xlfn.XLOOKUP(AB67,'Order Page'!X$27:X$393,'Order Page'!C$27:C$393,"")</f>
        <v>Acorus Calamus</v>
      </c>
      <c r="AH67">
        <f t="shared" si="52"/>
        <v>0</v>
      </c>
      <c r="AI67">
        <f t="shared" si="53"/>
        <v>0</v>
      </c>
      <c r="AJ67">
        <f t="shared" si="27"/>
        <v>0</v>
      </c>
      <c r="AK67">
        <f t="shared" si="17"/>
        <v>0</v>
      </c>
      <c r="AL67">
        <f>IF(OR(AD66&amp;AF66&lt;&gt;AD67&amp;AF67,AK67&lt;AK66),AK66,0)+MAX(AL$4:AL66)</f>
        <v>0</v>
      </c>
      <c r="AM67">
        <f t="shared" si="18"/>
        <v>0</v>
      </c>
      <c r="AO67" s="25" t="str">
        <f t="shared" si="19"/>
        <v/>
      </c>
      <c r="AP67" s="25" t="str">
        <f t="shared" si="54"/>
        <v/>
      </c>
      <c r="AQ67" t="str">
        <f t="shared" si="20"/>
        <v/>
      </c>
      <c r="AR67" t="str">
        <f t="shared" si="55"/>
        <v/>
      </c>
      <c r="AS67">
        <f t="shared" si="56"/>
        <v>0</v>
      </c>
      <c r="AT67">
        <f t="shared" si="21"/>
        <v>0</v>
      </c>
      <c r="AU67" t="str">
        <f>_xlfn.XLOOKUP(AB67,'Order Page'!X$24:X$378,'Order Page'!B$24:B$378,0)</f>
        <v>x6</v>
      </c>
      <c r="AV67">
        <f>_xlfn.XLOOKUP(AB67,'Order Page'!X$24:X$378,'Order Page'!O$24:O$378,0)</f>
        <v>38</v>
      </c>
      <c r="AW67" s="264"/>
      <c r="AX67">
        <v>46</v>
      </c>
      <c r="AY67" t="e">
        <f t="shared" si="60"/>
        <v>#N/A</v>
      </c>
      <c r="AZ67" t="e">
        <f t="shared" si="61"/>
        <v>#N/A</v>
      </c>
      <c r="BA67" t="e">
        <f t="shared" si="62"/>
        <v>#N/A</v>
      </c>
      <c r="BB67" t="e">
        <f t="shared" si="63"/>
        <v>#N/A</v>
      </c>
      <c r="BC67" t="e">
        <f>IF(AND(BB$18&lt;1,AZ67&lt;=BC$18),IF(BB$18+BB67+SUMIF(BC$21:BC66,BD$18,BB$21:BB66)&lt;=1,BD$18,0))</f>
        <v>#N/A</v>
      </c>
      <c r="BD67" t="e">
        <f t="shared" si="39"/>
        <v>#N/A</v>
      </c>
      <c r="BE67" t="e">
        <f>IF(AND(BB$19&lt;1,AZ67&lt;=BC$19),IF(BB$19+BD67+SUMIF(BE$21:BE66,BD$19,BD$21:BD66)&lt;=1,BD$19,0))</f>
        <v>#N/A</v>
      </c>
      <c r="BF67" t="e">
        <f t="shared" si="40"/>
        <v>#N/A</v>
      </c>
      <c r="BG67">
        <f t="shared" si="36"/>
        <v>0</v>
      </c>
      <c r="BH67">
        <f t="shared" si="37"/>
        <v>0</v>
      </c>
      <c r="BI67">
        <f t="shared" si="43"/>
        <v>0</v>
      </c>
      <c r="BJ67" t="e">
        <f t="shared" si="41"/>
        <v>#N/A</v>
      </c>
      <c r="BK67" t="e">
        <f>IF(BJ67=0,BK66,IF(ROUNDDOWN(SUM(BJ$22:BJ67),0)=ROUNDDOWN(SUM(BJ$22:BJ66),0),BK66+BJ67,ROUNDDOWN(SUM(BJ$22:BJ67),0)+BJ67))</f>
        <v>#N/A</v>
      </c>
      <c r="BL67" t="e">
        <f t="shared" si="44"/>
        <v>#N/A</v>
      </c>
      <c r="BM67" t="e">
        <f t="shared" si="64"/>
        <v>#N/A</v>
      </c>
      <c r="BN67" t="e">
        <f t="shared" si="42"/>
        <v>#N/A</v>
      </c>
    </row>
    <row r="68" spans="2:66" x14ac:dyDescent="0.25">
      <c r="B68">
        <v>8</v>
      </c>
      <c r="C68">
        <f t="shared" si="65"/>
        <v>0</v>
      </c>
      <c r="D68">
        <f t="shared" si="66"/>
        <v>0</v>
      </c>
      <c r="E68">
        <f t="shared" si="67"/>
        <v>0</v>
      </c>
      <c r="F68">
        <f t="shared" si="68"/>
        <v>0</v>
      </c>
      <c r="G68">
        <f t="shared" si="69"/>
        <v>0</v>
      </c>
      <c r="H68">
        <f t="shared" si="70"/>
        <v>0</v>
      </c>
      <c r="I68">
        <f t="shared" si="71"/>
        <v>0</v>
      </c>
      <c r="J68">
        <f t="shared" si="72"/>
        <v>0</v>
      </c>
      <c r="K68">
        <f>IF(J68&gt;0,J68*10+COUNTIF(J$61:J68,J68),0)</f>
        <v>0</v>
      </c>
      <c r="L68">
        <v>65</v>
      </c>
      <c r="M68">
        <f>_xlfn.XLOOKUP(L68,'Order Page'!X$27:X$393,'Order Page'!T$27:T$393,0)</f>
        <v>0</v>
      </c>
      <c r="N68">
        <f>_xlfn.XLOOKUP(L68,'Order Page'!X$27:X$393,'Order Page'!R$27:R$393,0)</f>
        <v>0</v>
      </c>
      <c r="O68" t="str">
        <f t="shared" ref="O68:O99" si="73">IF(M68&lt;&gt;0,_xlfn.XLOOKUP(M68,B$38:B$46,C$38:C$46,"")+_xlfn.XLOOKUP(N68,G$38:G$45,H$38:H$45,0)+L68,"")</f>
        <v/>
      </c>
      <c r="P68" t="str">
        <f t="shared" ref="P68:P99" si="74">IFERROR(IF(O68&gt;0,RANK(O68,O$4:O$154,1)-1,0),"")</f>
        <v/>
      </c>
      <c r="Q68" s="263"/>
      <c r="R68">
        <v>65</v>
      </c>
      <c r="S68">
        <f t="shared" si="57"/>
        <v>1</v>
      </c>
      <c r="T68">
        <f t="shared" ref="T68:T99" si="75">_xlfn.XLOOKUP(R68,P$4:P$153,L$4:L$153,0)</f>
        <v>0</v>
      </c>
      <c r="U68">
        <f>_xlfn.XLOOKUP(T68,'Order Page'!X$27:X$393,'Order Page'!U$27:U$393,"")</f>
        <v>0</v>
      </c>
      <c r="W68" t="str">
        <f t="shared" ref="W68:W99" si="76">_xlfn.XLOOKUP(T68,L$4:L$153,M$4:M$153,"")</f>
        <v/>
      </c>
      <c r="X68" t="str">
        <f t="shared" ref="X68:X99" si="77">_xlfn.XLOOKUP(T68,L$4:L$153,N$4:N$153,"")</f>
        <v/>
      </c>
      <c r="Y68" t="str">
        <f>_xlfn.XLOOKUP(T68,'Order Page'!X$27:X$393,'Order Page'!C$27:C$393,"")</f>
        <v>Acorus Calamus</v>
      </c>
      <c r="Z68" s="264"/>
      <c r="AA68">
        <v>65</v>
      </c>
      <c r="AB68" cm="1">
        <f t="array" ref="AB68">VLOOKUP(ROW(65:65),S$4:T$153,2)</f>
        <v>0</v>
      </c>
      <c r="AD68" t="str">
        <f t="shared" ref="AD68:AD99" si="78">_xlfn.XLOOKUP(AB68,L$4:L$153,M$4:M$153,"")</f>
        <v/>
      </c>
      <c r="AE68" t="e">
        <f t="shared" si="25"/>
        <v>#N/A</v>
      </c>
      <c r="AF68" t="str">
        <f t="shared" ref="AF68:AF99" si="79">_xlfn.XLOOKUP(AB68,L$4:L$153,N$4:N$153,"")</f>
        <v/>
      </c>
      <c r="AG68" t="str">
        <f>_xlfn.XLOOKUP(AB68,'Order Page'!X$27:X$393,'Order Page'!C$27:C$393,"")</f>
        <v>Acorus Calamus</v>
      </c>
      <c r="AH68">
        <f t="shared" ref="AH68:AH99" si="80">_xlfn.XLOOKUP(AD68&amp;AF68,E$5:E$35,H$5:H$35,0)</f>
        <v>0</v>
      </c>
      <c r="AI68">
        <f t="shared" ref="AI68:AI99" si="81">_xlfn.XLOOKUP(AD68,B$5:B$35,D$5:D$35,0)</f>
        <v>0</v>
      </c>
      <c r="AJ68">
        <f t="shared" si="27"/>
        <v>0</v>
      </c>
      <c r="AK68">
        <f t="shared" si="17"/>
        <v>0</v>
      </c>
      <c r="AL68">
        <f>IF(OR(AD67&amp;AF67&lt;&gt;AD68&amp;AF68,AK68&lt;AK67),AK67,0)+MAX(AL$4:AL67)</f>
        <v>0</v>
      </c>
      <c r="AM68">
        <f t="shared" si="18"/>
        <v>0</v>
      </c>
      <c r="AO68" s="25" t="str">
        <f t="shared" si="19"/>
        <v/>
      </c>
      <c r="AP68" s="25" t="str">
        <f t="shared" ref="AP68:AP99" si="82">IF(AND(AO68="Y",OR(AD68="Waterlily",AD68="Planted Contour Basket Standard",AD68="Planted Contour Basket Premium")),"Y","")</f>
        <v/>
      </c>
      <c r="AQ68" t="str">
        <f t="shared" si="20"/>
        <v/>
      </c>
      <c r="AR68" t="str">
        <f t="shared" ref="AR68:AR99" si="83">IFERROR(IF(AQ68&gt;0,RANK(AQ68,AQ$4:AQ$203,1),0)-AM$2,"")</f>
        <v/>
      </c>
      <c r="AS68">
        <f t="shared" ref="AS68:AS99" si="84">AM68+IF(AR68&lt;1,_xlfn.XLOOKUP(AR68,AX$4:AX$16,BE$4:BE$16,0))+IF(AR68&gt;0,_xlfn.XLOOKUP(AR68,AX$22:AX$103,BN$22:BN$103,0),0)</f>
        <v>0</v>
      </c>
      <c r="AT68">
        <f t="shared" si="21"/>
        <v>0</v>
      </c>
      <c r="AU68" t="str">
        <f>_xlfn.XLOOKUP(AB68,'Order Page'!X$24:X$378,'Order Page'!B$24:B$378,0)</f>
        <v>x6</v>
      </c>
      <c r="AV68">
        <f>_xlfn.XLOOKUP(AB68,'Order Page'!X$24:X$378,'Order Page'!O$24:O$378,0)</f>
        <v>38</v>
      </c>
      <c r="AW68" s="264"/>
      <c r="AX68">
        <v>47</v>
      </c>
      <c r="AY68" t="e">
        <f t="shared" si="60"/>
        <v>#N/A</v>
      </c>
      <c r="AZ68" t="e">
        <f t="shared" si="61"/>
        <v>#N/A</v>
      </c>
      <c r="BA68" t="e">
        <f t="shared" si="62"/>
        <v>#N/A</v>
      </c>
      <c r="BB68" t="e">
        <f t="shared" si="63"/>
        <v>#N/A</v>
      </c>
      <c r="BC68" t="e">
        <f>IF(AND(BB$18&lt;1,AZ68&lt;=BC$18),IF(BB$18+BB68+SUMIF(BC$21:BC67,BD$18,BB$21:BB67)&lt;=1,BD$18,0))</f>
        <v>#N/A</v>
      </c>
      <c r="BD68" t="e">
        <f t="shared" si="39"/>
        <v>#N/A</v>
      </c>
      <c r="BE68" t="e">
        <f>IF(AND(BB$19&lt;1,AZ68&lt;=BC$19),IF(BB$19+BD68+SUMIF(BE$21:BE67,BD$19,BD$21:BD67)&lt;=1,BD$19,0))</f>
        <v>#N/A</v>
      </c>
      <c r="BF68" t="e">
        <f t="shared" si="40"/>
        <v>#N/A</v>
      </c>
      <c r="BG68">
        <f t="shared" si="36"/>
        <v>0</v>
      </c>
      <c r="BH68">
        <f t="shared" si="37"/>
        <v>0</v>
      </c>
      <c r="BI68">
        <f t="shared" si="43"/>
        <v>0</v>
      </c>
      <c r="BJ68" t="e">
        <f t="shared" si="41"/>
        <v>#N/A</v>
      </c>
      <c r="BK68" t="e">
        <f>IF(BJ68=0,BK67,IF(ROUNDDOWN(SUM(BJ$22:BJ68),0)=ROUNDDOWN(SUM(BJ$22:BJ67),0),BK67+BJ68,ROUNDDOWN(SUM(BJ$22:BJ68),0)+BJ68))</f>
        <v>#N/A</v>
      </c>
      <c r="BL68" t="e">
        <f t="shared" si="44"/>
        <v>#N/A</v>
      </c>
      <c r="BM68" t="e">
        <f t="shared" si="64"/>
        <v>#N/A</v>
      </c>
      <c r="BN68" t="e">
        <f t="shared" si="42"/>
        <v>#N/A</v>
      </c>
    </row>
    <row r="69" spans="2:66" x14ac:dyDescent="0.25">
      <c r="B69">
        <v>9</v>
      </c>
      <c r="C69">
        <f t="shared" si="65"/>
        <v>0</v>
      </c>
      <c r="D69">
        <f t="shared" si="66"/>
        <v>0</v>
      </c>
      <c r="E69">
        <f t="shared" si="67"/>
        <v>0</v>
      </c>
      <c r="F69">
        <f t="shared" si="68"/>
        <v>0</v>
      </c>
      <c r="G69">
        <f t="shared" si="69"/>
        <v>0</v>
      </c>
      <c r="H69">
        <f t="shared" si="70"/>
        <v>0</v>
      </c>
      <c r="I69">
        <f t="shared" si="71"/>
        <v>0</v>
      </c>
      <c r="J69">
        <f t="shared" si="72"/>
        <v>0</v>
      </c>
      <c r="K69">
        <f>IF(J69&gt;0,J69*10+COUNTIF(J$61:J69,J69),0)</f>
        <v>0</v>
      </c>
      <c r="L69">
        <v>66</v>
      </c>
      <c r="M69">
        <f>_xlfn.XLOOKUP(L69,'Order Page'!X$27:X$393,'Order Page'!T$27:T$393,0)</f>
        <v>0</v>
      </c>
      <c r="N69">
        <f>_xlfn.XLOOKUP(L69,'Order Page'!X$27:X$393,'Order Page'!R$27:R$393,0)</f>
        <v>0</v>
      </c>
      <c r="O69" t="str">
        <f t="shared" si="73"/>
        <v/>
      </c>
      <c r="P69" t="str">
        <f t="shared" si="74"/>
        <v/>
      </c>
      <c r="Q69" s="263"/>
      <c r="R69">
        <v>66</v>
      </c>
      <c r="S69">
        <f t="shared" ref="S69:S100" si="85">S68+U68</f>
        <v>1</v>
      </c>
      <c r="T69">
        <f t="shared" si="75"/>
        <v>0</v>
      </c>
      <c r="U69">
        <f>_xlfn.XLOOKUP(T69,'Order Page'!X$27:X$393,'Order Page'!U$27:U$393,"")</f>
        <v>0</v>
      </c>
      <c r="W69" t="str">
        <f t="shared" si="76"/>
        <v/>
      </c>
      <c r="X69" t="str">
        <f t="shared" si="77"/>
        <v/>
      </c>
      <c r="Y69" t="str">
        <f>_xlfn.XLOOKUP(T69,'Order Page'!X$27:X$393,'Order Page'!C$27:C$393,"")</f>
        <v>Acorus Calamus</v>
      </c>
      <c r="Z69" s="264"/>
      <c r="AA69">
        <v>66</v>
      </c>
      <c r="AB69" cm="1">
        <f t="array" ref="AB69">VLOOKUP(ROW(66:66),S$4:T$153,2)</f>
        <v>0</v>
      </c>
      <c r="AD69" t="str">
        <f t="shared" si="78"/>
        <v/>
      </c>
      <c r="AE69" t="e">
        <f t="shared" ref="AE69:AE132" si="86">_xlfn.XLOOKUP(AD69,B$5:B$33,J$5:J$33)</f>
        <v>#N/A</v>
      </c>
      <c r="AF69" t="str">
        <f t="shared" si="79"/>
        <v/>
      </c>
      <c r="AG69" t="str">
        <f>_xlfn.XLOOKUP(AB69,'Order Page'!X$27:X$393,'Order Page'!C$27:C$393,"")</f>
        <v>Acorus Calamus</v>
      </c>
      <c r="AH69">
        <f t="shared" si="80"/>
        <v>0</v>
      </c>
      <c r="AI69">
        <f t="shared" si="81"/>
        <v>0</v>
      </c>
      <c r="AJ69">
        <f t="shared" si="27"/>
        <v>0</v>
      </c>
      <c r="AK69">
        <f t="shared" ref="AK69:AK132" si="87">IF(AJ69&lt;AH69+0.001,ROUNDUP(AJ69,0),0)</f>
        <v>0</v>
      </c>
      <c r="AL69">
        <f>IF(OR(AD68&amp;AF68&lt;&gt;AD69&amp;AF69,AK69&lt;AK68),AK68,0)+MAX(AL$4:AL68)</f>
        <v>0</v>
      </c>
      <c r="AM69">
        <f t="shared" ref="AM69:AM132" si="88">IF(AK69&gt;0,AK69+AL69,0)</f>
        <v>0</v>
      </c>
      <c r="AO69" s="25" t="str">
        <f t="shared" ref="AO69:AO132" si="89">IF(AND(AM69=0,AI69&gt;0),"Y","")</f>
        <v/>
      </c>
      <c r="AP69" s="25" t="str">
        <f t="shared" si="82"/>
        <v/>
      </c>
      <c r="AQ69" t="str">
        <f t="shared" ref="AQ69:AQ132" si="90">IF(AO69="Y",IF(AD69="Waterlily",1000,IF(OR(AD69="Planted Contour Basket Standard", AD69="Planted Contour Basket Premium"),2000,(100-AF69)*100))+AA69,"")</f>
        <v/>
      </c>
      <c r="AR69" t="str">
        <f t="shared" si="83"/>
        <v/>
      </c>
      <c r="AS69">
        <f t="shared" si="84"/>
        <v>0</v>
      </c>
      <c r="AT69">
        <f t="shared" ref="AT69:AT132" si="91">_xlfn.XLOOKUP(AS69,A$218:A$237,I$218:I$237,0)</f>
        <v>0</v>
      </c>
      <c r="AU69" t="str">
        <f>_xlfn.XLOOKUP(AB69,'Order Page'!X$24:X$378,'Order Page'!B$24:B$378,0)</f>
        <v>x6</v>
      </c>
      <c r="AV69">
        <f>_xlfn.XLOOKUP(AB69,'Order Page'!X$24:X$378,'Order Page'!O$24:O$378,0)</f>
        <v>38</v>
      </c>
      <c r="AW69" s="264"/>
      <c r="AX69">
        <v>48</v>
      </c>
      <c r="AY69" t="e">
        <f t="shared" si="60"/>
        <v>#N/A</v>
      </c>
      <c r="AZ69" t="e">
        <f t="shared" si="61"/>
        <v>#N/A</v>
      </c>
      <c r="BA69" t="e">
        <f t="shared" si="62"/>
        <v>#N/A</v>
      </c>
      <c r="BB69" t="e">
        <f t="shared" si="63"/>
        <v>#N/A</v>
      </c>
      <c r="BC69" t="e">
        <f>IF(AND(BB$18&lt;1,AZ69&lt;=BC$18),IF(BB$18+BB69+SUMIF(BC$21:BC68,BD$18,BB$21:BB68)&lt;=1,BD$18,0))</f>
        <v>#N/A</v>
      </c>
      <c r="BD69" t="e">
        <f t="shared" si="39"/>
        <v>#N/A</v>
      </c>
      <c r="BE69" t="e">
        <f>IF(AND(BB$19&lt;1,AZ69&lt;=BC$19),IF(BB$19+BD69+SUMIF(BE$21:BE68,BD$19,BD$21:BD68)&lt;=1,BD$19,0))</f>
        <v>#N/A</v>
      </c>
      <c r="BF69" t="e">
        <f t="shared" si="40"/>
        <v>#N/A</v>
      </c>
      <c r="BG69">
        <f t="shared" si="36"/>
        <v>0</v>
      </c>
      <c r="BH69">
        <f t="shared" si="37"/>
        <v>0</v>
      </c>
      <c r="BI69">
        <f t="shared" si="43"/>
        <v>0</v>
      </c>
      <c r="BJ69" t="e">
        <f t="shared" si="41"/>
        <v>#N/A</v>
      </c>
      <c r="BK69" t="e">
        <f>IF(BJ69=0,BK68,IF(ROUNDDOWN(SUM(BJ$22:BJ69),0)=ROUNDDOWN(SUM(BJ$22:BJ68),0),BK68+BJ69,ROUNDDOWN(SUM(BJ$22:BJ69),0)+BJ69))</f>
        <v>#N/A</v>
      </c>
      <c r="BL69" t="e">
        <f t="shared" si="44"/>
        <v>#N/A</v>
      </c>
      <c r="BM69" t="e">
        <f t="shared" si="64"/>
        <v>#N/A</v>
      </c>
      <c r="BN69" t="e">
        <f t="shared" si="42"/>
        <v>#N/A</v>
      </c>
    </row>
    <row r="70" spans="2:66" x14ac:dyDescent="0.25">
      <c r="B70">
        <v>10</v>
      </c>
      <c r="C70">
        <f t="shared" si="65"/>
        <v>0</v>
      </c>
      <c r="D70">
        <f t="shared" si="66"/>
        <v>0</v>
      </c>
      <c r="E70">
        <f t="shared" si="67"/>
        <v>0</v>
      </c>
      <c r="F70">
        <f t="shared" si="68"/>
        <v>0</v>
      </c>
      <c r="G70">
        <f t="shared" si="69"/>
        <v>0</v>
      </c>
      <c r="H70">
        <f t="shared" si="70"/>
        <v>0</v>
      </c>
      <c r="I70">
        <f t="shared" si="71"/>
        <v>0</v>
      </c>
      <c r="J70">
        <f t="shared" si="72"/>
        <v>0</v>
      </c>
      <c r="K70">
        <f>IF(J70&gt;0,J70*10+COUNTIF(J$61:J70,J70),0)</f>
        <v>0</v>
      </c>
      <c r="L70">
        <v>67</v>
      </c>
      <c r="M70">
        <f>_xlfn.XLOOKUP(L70,'Order Page'!X$27:X$393,'Order Page'!T$27:T$393,0)</f>
        <v>0</v>
      </c>
      <c r="N70">
        <f>_xlfn.XLOOKUP(L70,'Order Page'!X$27:X$393,'Order Page'!R$27:R$393,0)</f>
        <v>0</v>
      </c>
      <c r="O70" t="str">
        <f t="shared" si="73"/>
        <v/>
      </c>
      <c r="P70" t="str">
        <f t="shared" si="74"/>
        <v/>
      </c>
      <c r="Q70" s="263"/>
      <c r="R70">
        <v>67</v>
      </c>
      <c r="S70">
        <f t="shared" si="85"/>
        <v>1</v>
      </c>
      <c r="T70">
        <f t="shared" si="75"/>
        <v>0</v>
      </c>
      <c r="U70">
        <f>_xlfn.XLOOKUP(T70,'Order Page'!X$27:X$393,'Order Page'!U$27:U$393,"")</f>
        <v>0</v>
      </c>
      <c r="W70" t="str">
        <f t="shared" si="76"/>
        <v/>
      </c>
      <c r="X70" t="str">
        <f t="shared" si="77"/>
        <v/>
      </c>
      <c r="Y70" t="str">
        <f>_xlfn.XLOOKUP(T70,'Order Page'!X$27:X$393,'Order Page'!C$27:C$393,"")</f>
        <v>Acorus Calamus</v>
      </c>
      <c r="Z70" s="264"/>
      <c r="AA70">
        <v>67</v>
      </c>
      <c r="AB70" cm="1">
        <f t="array" ref="AB70">VLOOKUP(ROW(67:67),S$4:T$153,2)</f>
        <v>0</v>
      </c>
      <c r="AD70" t="str">
        <f t="shared" si="78"/>
        <v/>
      </c>
      <c r="AE70" t="e">
        <f t="shared" si="86"/>
        <v>#N/A</v>
      </c>
      <c r="AF70" t="str">
        <f t="shared" si="79"/>
        <v/>
      </c>
      <c r="AG70" t="str">
        <f>_xlfn.XLOOKUP(AB70,'Order Page'!X$27:X$393,'Order Page'!C$27:C$393,"")</f>
        <v>Acorus Calamus</v>
      </c>
      <c r="AH70">
        <f t="shared" si="80"/>
        <v>0</v>
      </c>
      <c r="AI70">
        <f t="shared" si="81"/>
        <v>0</v>
      </c>
      <c r="AJ70">
        <f t="shared" ref="AJ70:AJ133" si="92">IF(AND(AD70&amp;AF70=AD69&amp;AF69,AH70&gt;0),AJ69+AI70,IF(AH70&gt;0,AI70,0))</f>
        <v>0</v>
      </c>
      <c r="AK70">
        <f>IF(AJ70&lt;AH70+0.001,ROUNDUP(AJ70,0),0)</f>
        <v>0</v>
      </c>
      <c r="AL70">
        <f>IF(OR(AD69&amp;AF69&lt;&gt;AD70&amp;AF70,AK70&lt;AK69),AK69,0)+MAX(AL$4:AL69)</f>
        <v>0</v>
      </c>
      <c r="AM70">
        <f t="shared" si="88"/>
        <v>0</v>
      </c>
      <c r="AO70" s="25" t="str">
        <f t="shared" si="89"/>
        <v/>
      </c>
      <c r="AP70" s="25" t="str">
        <f t="shared" si="82"/>
        <v/>
      </c>
      <c r="AQ70" t="str">
        <f t="shared" si="90"/>
        <v/>
      </c>
      <c r="AR70" t="str">
        <f t="shared" si="83"/>
        <v/>
      </c>
      <c r="AS70">
        <f t="shared" si="84"/>
        <v>0</v>
      </c>
      <c r="AT70">
        <f t="shared" si="91"/>
        <v>0</v>
      </c>
      <c r="AU70" t="str">
        <f>_xlfn.XLOOKUP(AB70,'Order Page'!X$24:X$378,'Order Page'!B$24:B$378,0)</f>
        <v>x6</v>
      </c>
      <c r="AV70">
        <f>_xlfn.XLOOKUP(AB70,'Order Page'!X$24:X$378,'Order Page'!O$24:O$378,0)</f>
        <v>38</v>
      </c>
      <c r="AW70" s="264"/>
      <c r="AX70">
        <v>49</v>
      </c>
      <c r="AY70" t="e">
        <f t="shared" si="60"/>
        <v>#N/A</v>
      </c>
      <c r="AZ70" t="e">
        <f t="shared" si="61"/>
        <v>#N/A</v>
      </c>
      <c r="BA70" t="e">
        <f t="shared" si="62"/>
        <v>#N/A</v>
      </c>
      <c r="BB70" t="e">
        <f t="shared" si="63"/>
        <v>#N/A</v>
      </c>
      <c r="BC70" t="e">
        <f>IF(AND(BB$18&lt;1,AZ70&lt;=BC$18),IF(BB$18+BB70+SUMIF(BC$21:BC69,BD$18,BB$21:BB69)&lt;=1,BD$18,0))</f>
        <v>#N/A</v>
      </c>
      <c r="BD70" t="e">
        <f t="shared" si="39"/>
        <v>#N/A</v>
      </c>
      <c r="BE70" t="e">
        <f>IF(AND(BB$19&lt;1,AZ70&lt;=BC$19),IF(BB$19+BD70+SUMIF(BE$21:BE69,BD$19,BD$21:BD69)&lt;=1,BD$19,0))</f>
        <v>#N/A</v>
      </c>
      <c r="BF70" t="e">
        <f t="shared" si="40"/>
        <v>#N/A</v>
      </c>
      <c r="BG70">
        <f t="shared" si="36"/>
        <v>0</v>
      </c>
      <c r="BH70">
        <f t="shared" si="37"/>
        <v>0</v>
      </c>
      <c r="BI70">
        <f t="shared" si="43"/>
        <v>0</v>
      </c>
      <c r="BJ70" t="e">
        <f t="shared" si="41"/>
        <v>#N/A</v>
      </c>
      <c r="BK70" t="e">
        <f>IF(BJ70=0,BK69,IF(ROUNDDOWN(SUM(BJ$22:BJ70),0)=ROUNDDOWN(SUM(BJ$22:BJ69),0),BK69+BJ70,ROUNDDOWN(SUM(BJ$22:BJ70),0)+BJ70))</f>
        <v>#N/A</v>
      </c>
      <c r="BL70" t="e">
        <f t="shared" si="44"/>
        <v>#N/A</v>
      </c>
      <c r="BM70" t="e">
        <f t="shared" si="64"/>
        <v>#N/A</v>
      </c>
      <c r="BN70" t="e">
        <f t="shared" si="42"/>
        <v>#N/A</v>
      </c>
    </row>
    <row r="71" spans="2:66" x14ac:dyDescent="0.25">
      <c r="B71">
        <v>11</v>
      </c>
      <c r="C71">
        <f t="shared" si="65"/>
        <v>0</v>
      </c>
      <c r="D71">
        <f t="shared" si="66"/>
        <v>0</v>
      </c>
      <c r="E71">
        <f t="shared" si="67"/>
        <v>0</v>
      </c>
      <c r="F71">
        <f t="shared" si="68"/>
        <v>0</v>
      </c>
      <c r="G71">
        <f t="shared" si="69"/>
        <v>0</v>
      </c>
      <c r="H71">
        <f t="shared" si="70"/>
        <v>0</v>
      </c>
      <c r="I71">
        <f t="shared" si="71"/>
        <v>0</v>
      </c>
      <c r="J71">
        <f t="shared" si="72"/>
        <v>0</v>
      </c>
      <c r="K71">
        <f>IF(J71&gt;0,J71*10+COUNTIF(J$61:J71,J71),0)</f>
        <v>0</v>
      </c>
      <c r="L71">
        <v>68</v>
      </c>
      <c r="M71">
        <f>_xlfn.XLOOKUP(L71,'Order Page'!X$27:X$393,'Order Page'!T$27:T$393,0)</f>
        <v>0</v>
      </c>
      <c r="N71">
        <f>_xlfn.XLOOKUP(L71,'Order Page'!X$27:X$393,'Order Page'!R$27:R$393,0)</f>
        <v>0</v>
      </c>
      <c r="O71" t="str">
        <f t="shared" si="73"/>
        <v/>
      </c>
      <c r="P71" t="str">
        <f t="shared" si="74"/>
        <v/>
      </c>
      <c r="Q71" s="263"/>
      <c r="R71">
        <v>68</v>
      </c>
      <c r="S71">
        <f t="shared" si="85"/>
        <v>1</v>
      </c>
      <c r="T71">
        <f t="shared" si="75"/>
        <v>0</v>
      </c>
      <c r="U71">
        <f>_xlfn.XLOOKUP(T71,'Order Page'!X$27:X$393,'Order Page'!U$27:U$393,"")</f>
        <v>0</v>
      </c>
      <c r="W71" t="str">
        <f t="shared" si="76"/>
        <v/>
      </c>
      <c r="X71" t="str">
        <f t="shared" si="77"/>
        <v/>
      </c>
      <c r="Y71" t="str">
        <f>_xlfn.XLOOKUP(T71,'Order Page'!X$27:X$393,'Order Page'!C$27:C$393,"")</f>
        <v>Acorus Calamus</v>
      </c>
      <c r="Z71" s="264"/>
      <c r="AA71">
        <v>68</v>
      </c>
      <c r="AB71" cm="1">
        <f t="array" ref="AB71">VLOOKUP(ROW(68:68),S$4:T$153,2)</f>
        <v>0</v>
      </c>
      <c r="AD71" t="str">
        <f t="shared" si="78"/>
        <v/>
      </c>
      <c r="AE71" t="e">
        <f t="shared" si="86"/>
        <v>#N/A</v>
      </c>
      <c r="AF71" t="str">
        <f t="shared" si="79"/>
        <v/>
      </c>
      <c r="AG71" t="str">
        <f>_xlfn.XLOOKUP(AB71,'Order Page'!X$27:X$393,'Order Page'!C$27:C$393,"")</f>
        <v>Acorus Calamus</v>
      </c>
      <c r="AH71">
        <f t="shared" si="80"/>
        <v>0</v>
      </c>
      <c r="AI71">
        <f t="shared" si="81"/>
        <v>0</v>
      </c>
      <c r="AJ71">
        <f t="shared" si="92"/>
        <v>0</v>
      </c>
      <c r="AK71">
        <f t="shared" si="87"/>
        <v>0</v>
      </c>
      <c r="AL71">
        <f>IF(OR(AD70&amp;AF70&lt;&gt;AD71&amp;AF71,AK71&lt;AK70),AK70,0)+MAX(AL$4:AL70)</f>
        <v>0</v>
      </c>
      <c r="AM71">
        <f t="shared" si="88"/>
        <v>0</v>
      </c>
      <c r="AO71" s="25" t="str">
        <f t="shared" si="89"/>
        <v/>
      </c>
      <c r="AP71" s="25" t="str">
        <f t="shared" si="82"/>
        <v/>
      </c>
      <c r="AQ71" t="str">
        <f t="shared" si="90"/>
        <v/>
      </c>
      <c r="AR71" t="str">
        <f t="shared" si="83"/>
        <v/>
      </c>
      <c r="AS71">
        <f t="shared" si="84"/>
        <v>0</v>
      </c>
      <c r="AT71">
        <f t="shared" si="91"/>
        <v>0</v>
      </c>
      <c r="AU71" t="str">
        <f>_xlfn.XLOOKUP(AB71,'Order Page'!X$24:X$378,'Order Page'!B$24:B$378,0)</f>
        <v>x6</v>
      </c>
      <c r="AV71">
        <f>_xlfn.XLOOKUP(AB71,'Order Page'!X$24:X$378,'Order Page'!O$24:O$378,0)</f>
        <v>38</v>
      </c>
      <c r="AW71" s="264"/>
      <c r="AX71">
        <v>50</v>
      </c>
      <c r="AY71" t="e">
        <f t="shared" si="60"/>
        <v>#N/A</v>
      </c>
      <c r="AZ71" t="e">
        <f t="shared" si="61"/>
        <v>#N/A</v>
      </c>
      <c r="BA71" t="e">
        <f t="shared" si="62"/>
        <v>#N/A</v>
      </c>
      <c r="BB71" t="e">
        <f t="shared" si="63"/>
        <v>#N/A</v>
      </c>
      <c r="BC71" t="e">
        <f>IF(AND(BB$18&lt;1,AZ71&lt;=BC$18),IF(BB$18+BB71+SUMIF(BC$21:BC70,BD$18,BB$21:BB70)&lt;=1,BD$18,0))</f>
        <v>#N/A</v>
      </c>
      <c r="BD71" t="e">
        <f t="shared" si="39"/>
        <v>#N/A</v>
      </c>
      <c r="BE71" t="e">
        <f>IF(AND(BB$19&lt;1,AZ71&lt;=BC$19),IF(BB$19+BD71+SUMIF(BE$21:BE70,BD$19,BD$21:BD70)&lt;=1,BD$19,0))</f>
        <v>#N/A</v>
      </c>
      <c r="BF71" t="e">
        <f t="shared" si="40"/>
        <v>#N/A</v>
      </c>
      <c r="BG71">
        <f t="shared" si="36"/>
        <v>0</v>
      </c>
      <c r="BH71">
        <f t="shared" si="37"/>
        <v>0</v>
      </c>
      <c r="BI71">
        <f t="shared" si="43"/>
        <v>0</v>
      </c>
      <c r="BJ71" t="e">
        <f t="shared" si="41"/>
        <v>#N/A</v>
      </c>
      <c r="BK71" t="e">
        <f>IF(BJ71=0,BK70,IF(ROUNDDOWN(SUM(BJ$22:BJ71),0)=ROUNDDOWN(SUM(BJ$22:BJ70),0),BK70+BJ71,ROUNDDOWN(SUM(BJ$22:BJ71),0)+BJ71))</f>
        <v>#N/A</v>
      </c>
      <c r="BL71" t="e">
        <f t="shared" si="44"/>
        <v>#N/A</v>
      </c>
      <c r="BM71" t="e">
        <f t="shared" si="64"/>
        <v>#N/A</v>
      </c>
      <c r="BN71" t="e">
        <f t="shared" si="42"/>
        <v>#N/A</v>
      </c>
    </row>
    <row r="72" spans="2:66" x14ac:dyDescent="0.25">
      <c r="B72">
        <v>12</v>
      </c>
      <c r="C72">
        <f t="shared" si="65"/>
        <v>0</v>
      </c>
      <c r="D72">
        <f t="shared" si="66"/>
        <v>0</v>
      </c>
      <c r="E72">
        <f t="shared" si="67"/>
        <v>0</v>
      </c>
      <c r="F72">
        <f t="shared" si="68"/>
        <v>0</v>
      </c>
      <c r="G72">
        <f t="shared" si="69"/>
        <v>0</v>
      </c>
      <c r="H72">
        <f t="shared" si="70"/>
        <v>0</v>
      </c>
      <c r="I72">
        <f t="shared" si="71"/>
        <v>0</v>
      </c>
      <c r="J72">
        <f t="shared" si="72"/>
        <v>0</v>
      </c>
      <c r="K72">
        <f>IF(J72&gt;0,J72*10+COUNTIF(J$61:J72,J72),0)</f>
        <v>0</v>
      </c>
      <c r="L72">
        <v>69</v>
      </c>
      <c r="M72">
        <f>_xlfn.XLOOKUP(L72,'Order Page'!X$27:X$393,'Order Page'!T$27:T$393,0)</f>
        <v>0</v>
      </c>
      <c r="N72">
        <f>_xlfn.XLOOKUP(L72,'Order Page'!X$27:X$393,'Order Page'!R$27:R$393,0)</f>
        <v>0</v>
      </c>
      <c r="O72" t="str">
        <f t="shared" si="73"/>
        <v/>
      </c>
      <c r="P72" t="str">
        <f t="shared" si="74"/>
        <v/>
      </c>
      <c r="Q72" s="263"/>
      <c r="R72">
        <v>69</v>
      </c>
      <c r="S72">
        <f t="shared" si="85"/>
        <v>1</v>
      </c>
      <c r="T72">
        <f t="shared" si="75"/>
        <v>0</v>
      </c>
      <c r="U72">
        <f>_xlfn.XLOOKUP(T72,'Order Page'!X$27:X$393,'Order Page'!U$27:U$393,"")</f>
        <v>0</v>
      </c>
      <c r="W72" t="str">
        <f t="shared" si="76"/>
        <v/>
      </c>
      <c r="X72" t="str">
        <f t="shared" si="77"/>
        <v/>
      </c>
      <c r="Y72" t="str">
        <f>_xlfn.XLOOKUP(T72,'Order Page'!X$27:X$393,'Order Page'!C$27:C$393,"")</f>
        <v>Acorus Calamus</v>
      </c>
      <c r="Z72" s="264"/>
      <c r="AA72">
        <v>69</v>
      </c>
      <c r="AB72" cm="1">
        <f t="array" ref="AB72">VLOOKUP(ROW(69:69),S$4:T$153,2)</f>
        <v>0</v>
      </c>
      <c r="AD72" t="str">
        <f t="shared" si="78"/>
        <v/>
      </c>
      <c r="AE72" t="e">
        <f t="shared" si="86"/>
        <v>#N/A</v>
      </c>
      <c r="AF72" t="str">
        <f t="shared" si="79"/>
        <v/>
      </c>
      <c r="AG72" t="str">
        <f>_xlfn.XLOOKUP(AB72,'Order Page'!X$27:X$393,'Order Page'!C$27:C$393,"")</f>
        <v>Acorus Calamus</v>
      </c>
      <c r="AH72">
        <f t="shared" si="80"/>
        <v>0</v>
      </c>
      <c r="AI72">
        <f t="shared" si="81"/>
        <v>0</v>
      </c>
      <c r="AJ72">
        <f t="shared" si="92"/>
        <v>0</v>
      </c>
      <c r="AK72">
        <f t="shared" si="87"/>
        <v>0</v>
      </c>
      <c r="AL72">
        <f>IF(OR(AD71&amp;AF71&lt;&gt;AD72&amp;AF72,AK72&lt;AK71),AK71,0)+MAX(AL$4:AL71)</f>
        <v>0</v>
      </c>
      <c r="AM72">
        <f t="shared" si="88"/>
        <v>0</v>
      </c>
      <c r="AO72" s="25" t="str">
        <f t="shared" si="89"/>
        <v/>
      </c>
      <c r="AP72" s="25" t="str">
        <f t="shared" si="82"/>
        <v/>
      </c>
      <c r="AQ72" t="str">
        <f t="shared" si="90"/>
        <v/>
      </c>
      <c r="AR72" t="str">
        <f t="shared" si="83"/>
        <v/>
      </c>
      <c r="AS72">
        <f t="shared" si="84"/>
        <v>0</v>
      </c>
      <c r="AT72">
        <f t="shared" si="91"/>
        <v>0</v>
      </c>
      <c r="AU72" t="str">
        <f>_xlfn.XLOOKUP(AB72,'Order Page'!X$24:X$378,'Order Page'!B$24:B$378,0)</f>
        <v>x6</v>
      </c>
      <c r="AV72">
        <f>_xlfn.XLOOKUP(AB72,'Order Page'!X$24:X$378,'Order Page'!O$24:O$378,0)</f>
        <v>38</v>
      </c>
      <c r="AW72" s="264"/>
      <c r="AX72">
        <v>51</v>
      </c>
      <c r="AY72" t="e">
        <f t="shared" si="60"/>
        <v>#N/A</v>
      </c>
      <c r="AZ72" t="e">
        <f t="shared" si="61"/>
        <v>#N/A</v>
      </c>
      <c r="BA72" t="e">
        <f t="shared" si="62"/>
        <v>#N/A</v>
      </c>
      <c r="BB72" t="e">
        <f t="shared" si="63"/>
        <v>#N/A</v>
      </c>
      <c r="BC72" t="e">
        <f>IF(AND(BB$18&lt;1,AZ72&lt;=BC$18),IF(BB$18+BB72+SUMIF(BC$21:BC71,BD$18,BB$21:BB71)&lt;=1,BD$18,0))</f>
        <v>#N/A</v>
      </c>
      <c r="BD72" t="e">
        <f t="shared" si="39"/>
        <v>#N/A</v>
      </c>
      <c r="BE72" t="e">
        <f>IF(AND(BB$19&lt;1,AZ72&lt;=BC$19),IF(BB$19+BD72+SUMIF(BE$21:BE71,BD$19,BD$21:BD71)&lt;=1,BD$19,0))</f>
        <v>#N/A</v>
      </c>
      <c r="BF72" t="e">
        <f t="shared" si="40"/>
        <v>#N/A</v>
      </c>
      <c r="BG72">
        <f t="shared" si="36"/>
        <v>0</v>
      </c>
      <c r="BH72">
        <f t="shared" si="37"/>
        <v>0</v>
      </c>
      <c r="BI72">
        <f t="shared" si="43"/>
        <v>0</v>
      </c>
      <c r="BJ72" t="e">
        <f t="shared" si="41"/>
        <v>#N/A</v>
      </c>
      <c r="BK72" t="e">
        <f>IF(BJ72=0,BK71,IF(ROUNDDOWN(SUM(BJ$22:BJ72),0)=ROUNDDOWN(SUM(BJ$22:BJ71),0),BK71+BJ72,ROUNDDOWN(SUM(BJ$22:BJ72),0)+BJ72))</f>
        <v>#N/A</v>
      </c>
      <c r="BL72" t="e">
        <f t="shared" si="44"/>
        <v>#N/A</v>
      </c>
      <c r="BM72" t="e">
        <f t="shared" si="64"/>
        <v>#N/A</v>
      </c>
      <c r="BN72" t="e">
        <f t="shared" si="42"/>
        <v>#N/A</v>
      </c>
    </row>
    <row r="73" spans="2:66" x14ac:dyDescent="0.25">
      <c r="B73">
        <v>13</v>
      </c>
      <c r="C73">
        <f t="shared" si="65"/>
        <v>0</v>
      </c>
      <c r="D73">
        <f t="shared" si="66"/>
        <v>0</v>
      </c>
      <c r="E73">
        <f t="shared" si="67"/>
        <v>0</v>
      </c>
      <c r="F73">
        <f t="shared" si="68"/>
        <v>0</v>
      </c>
      <c r="G73">
        <f t="shared" si="69"/>
        <v>0</v>
      </c>
      <c r="H73">
        <f t="shared" si="70"/>
        <v>0</v>
      </c>
      <c r="I73">
        <f t="shared" si="71"/>
        <v>0</v>
      </c>
      <c r="J73">
        <f t="shared" si="72"/>
        <v>0</v>
      </c>
      <c r="K73">
        <f>IF(J73&gt;0,J73*10+COUNTIF(J$61:J73,J73),0)</f>
        <v>0</v>
      </c>
      <c r="L73">
        <v>70</v>
      </c>
      <c r="M73">
        <f>_xlfn.XLOOKUP(L73,'Order Page'!X$27:X$393,'Order Page'!T$27:T$393,0)</f>
        <v>0</v>
      </c>
      <c r="N73">
        <f>_xlfn.XLOOKUP(L73,'Order Page'!X$27:X$393,'Order Page'!R$27:R$393,0)</f>
        <v>0</v>
      </c>
      <c r="O73" t="str">
        <f t="shared" si="73"/>
        <v/>
      </c>
      <c r="P73" t="str">
        <f t="shared" si="74"/>
        <v/>
      </c>
      <c r="Q73" s="263"/>
      <c r="R73">
        <v>70</v>
      </c>
      <c r="S73">
        <f t="shared" si="85"/>
        <v>1</v>
      </c>
      <c r="T73">
        <f t="shared" si="75"/>
        <v>0</v>
      </c>
      <c r="U73">
        <f>_xlfn.XLOOKUP(T73,'Order Page'!X$27:X$393,'Order Page'!U$27:U$393,"")</f>
        <v>0</v>
      </c>
      <c r="W73" t="str">
        <f t="shared" si="76"/>
        <v/>
      </c>
      <c r="X73" t="str">
        <f t="shared" si="77"/>
        <v/>
      </c>
      <c r="Y73" t="str">
        <f>_xlfn.XLOOKUP(T73,'Order Page'!X$27:X$393,'Order Page'!C$27:C$393,"")</f>
        <v>Acorus Calamus</v>
      </c>
      <c r="Z73" s="264"/>
      <c r="AA73">
        <v>70</v>
      </c>
      <c r="AB73" cm="1">
        <f t="array" ref="AB73">VLOOKUP(ROW(70:70),S$4:T$153,2)</f>
        <v>0</v>
      </c>
      <c r="AD73" t="str">
        <f t="shared" si="78"/>
        <v/>
      </c>
      <c r="AE73" t="e">
        <f t="shared" si="86"/>
        <v>#N/A</v>
      </c>
      <c r="AF73" t="str">
        <f t="shared" si="79"/>
        <v/>
      </c>
      <c r="AG73" t="str">
        <f>_xlfn.XLOOKUP(AB73,'Order Page'!X$27:X$393,'Order Page'!C$27:C$393,"")</f>
        <v>Acorus Calamus</v>
      </c>
      <c r="AH73">
        <f t="shared" si="80"/>
        <v>0</v>
      </c>
      <c r="AI73">
        <f t="shared" si="81"/>
        <v>0</v>
      </c>
      <c r="AJ73">
        <f t="shared" si="92"/>
        <v>0</v>
      </c>
      <c r="AK73">
        <f t="shared" si="87"/>
        <v>0</v>
      </c>
      <c r="AL73">
        <f>IF(OR(AD72&amp;AF72&lt;&gt;AD73&amp;AF73,AK73&lt;AK72),AK72,0)+MAX(AL$4:AL72)</f>
        <v>0</v>
      </c>
      <c r="AM73">
        <f t="shared" si="88"/>
        <v>0</v>
      </c>
      <c r="AO73" s="25" t="str">
        <f t="shared" si="89"/>
        <v/>
      </c>
      <c r="AP73" s="25" t="str">
        <f t="shared" si="82"/>
        <v/>
      </c>
      <c r="AQ73" t="str">
        <f t="shared" si="90"/>
        <v/>
      </c>
      <c r="AR73" t="str">
        <f t="shared" si="83"/>
        <v/>
      </c>
      <c r="AS73">
        <f t="shared" si="84"/>
        <v>0</v>
      </c>
      <c r="AT73">
        <f t="shared" si="91"/>
        <v>0</v>
      </c>
      <c r="AU73" t="str">
        <f>_xlfn.XLOOKUP(AB73,'Order Page'!X$24:X$378,'Order Page'!B$24:B$378,0)</f>
        <v>x6</v>
      </c>
      <c r="AV73">
        <f>_xlfn.XLOOKUP(AB73,'Order Page'!X$24:X$378,'Order Page'!O$24:O$378,0)</f>
        <v>38</v>
      </c>
      <c r="AW73" s="264"/>
      <c r="AX73">
        <v>52</v>
      </c>
      <c r="AY73" t="e">
        <f t="shared" si="60"/>
        <v>#N/A</v>
      </c>
      <c r="AZ73" t="e">
        <f t="shared" si="61"/>
        <v>#N/A</v>
      </c>
      <c r="BA73" t="e">
        <f t="shared" si="62"/>
        <v>#N/A</v>
      </c>
      <c r="BB73" t="e">
        <f t="shared" si="63"/>
        <v>#N/A</v>
      </c>
      <c r="BC73" t="e">
        <f>IF(AND(BB$18&lt;1,AZ73&lt;=BC$18),IF(BB$18+BB73+SUMIF(BC$21:BC72,BD$18,BB$21:BB72)&lt;=1,BD$18,0))</f>
        <v>#N/A</v>
      </c>
      <c r="BD73" t="e">
        <f t="shared" si="39"/>
        <v>#N/A</v>
      </c>
      <c r="BE73" t="e">
        <f>IF(AND(BB$19&lt;1,AZ73&lt;=BC$19),IF(BB$19+BD73+SUMIF(BE$21:BE72,BD$19,BD$21:BD72)&lt;=1,BD$19,0))</f>
        <v>#N/A</v>
      </c>
      <c r="BF73" t="e">
        <f t="shared" si="40"/>
        <v>#N/A</v>
      </c>
      <c r="BG73">
        <f t="shared" si="36"/>
        <v>0</v>
      </c>
      <c r="BH73">
        <f t="shared" si="37"/>
        <v>0</v>
      </c>
      <c r="BI73">
        <f t="shared" si="43"/>
        <v>0</v>
      </c>
      <c r="BJ73" t="e">
        <f t="shared" si="41"/>
        <v>#N/A</v>
      </c>
      <c r="BK73" t="e">
        <f>IF(BJ73=0,BK72,IF(ROUNDDOWN(SUM(BJ$22:BJ73),0)=ROUNDDOWN(SUM(BJ$22:BJ72),0),BK72+BJ73,ROUNDDOWN(SUM(BJ$22:BJ73),0)+BJ73))</f>
        <v>#N/A</v>
      </c>
      <c r="BL73" t="e">
        <f t="shared" si="44"/>
        <v>#N/A</v>
      </c>
      <c r="BM73" t="e">
        <f t="shared" si="64"/>
        <v>#N/A</v>
      </c>
      <c r="BN73" t="e">
        <f t="shared" si="42"/>
        <v>#N/A</v>
      </c>
    </row>
    <row r="74" spans="2:66" x14ac:dyDescent="0.25">
      <c r="B74">
        <v>14</v>
      </c>
      <c r="C74">
        <f t="shared" si="65"/>
        <v>0</v>
      </c>
      <c r="D74">
        <f t="shared" si="66"/>
        <v>0</v>
      </c>
      <c r="E74">
        <f t="shared" si="67"/>
        <v>0</v>
      </c>
      <c r="F74">
        <f t="shared" si="68"/>
        <v>0</v>
      </c>
      <c r="G74">
        <f t="shared" si="69"/>
        <v>0</v>
      </c>
      <c r="H74">
        <f t="shared" si="70"/>
        <v>0</v>
      </c>
      <c r="I74">
        <f t="shared" si="71"/>
        <v>0</v>
      </c>
      <c r="J74">
        <f t="shared" si="72"/>
        <v>0</v>
      </c>
      <c r="K74">
        <f>IF(J74&gt;0,J74*10+COUNTIF(J$61:J74,J74),0)</f>
        <v>0</v>
      </c>
      <c r="L74">
        <v>71</v>
      </c>
      <c r="M74">
        <f>_xlfn.XLOOKUP(L74,'Order Page'!X$27:X$393,'Order Page'!T$27:T$393,0)</f>
        <v>0</v>
      </c>
      <c r="N74">
        <f>_xlfn.XLOOKUP(L74,'Order Page'!X$27:X$393,'Order Page'!R$27:R$393,0)</f>
        <v>0</v>
      </c>
      <c r="O74" t="str">
        <f t="shared" si="73"/>
        <v/>
      </c>
      <c r="P74" t="str">
        <f t="shared" si="74"/>
        <v/>
      </c>
      <c r="Q74" s="263"/>
      <c r="R74">
        <v>71</v>
      </c>
      <c r="S74">
        <f t="shared" si="85"/>
        <v>1</v>
      </c>
      <c r="T74">
        <f t="shared" si="75"/>
        <v>0</v>
      </c>
      <c r="U74">
        <f>_xlfn.XLOOKUP(T74,'Order Page'!X$27:X$393,'Order Page'!U$27:U$393,"")</f>
        <v>0</v>
      </c>
      <c r="W74" t="str">
        <f t="shared" si="76"/>
        <v/>
      </c>
      <c r="X74" t="str">
        <f t="shared" si="77"/>
        <v/>
      </c>
      <c r="Y74" t="str">
        <f>_xlfn.XLOOKUP(T74,'Order Page'!X$27:X$393,'Order Page'!C$27:C$393,"")</f>
        <v>Acorus Calamus</v>
      </c>
      <c r="Z74" s="264"/>
      <c r="AA74">
        <v>71</v>
      </c>
      <c r="AB74" cm="1">
        <f t="array" ref="AB74">VLOOKUP(ROW(71:71),S$4:T$153,2)</f>
        <v>0</v>
      </c>
      <c r="AD74" t="str">
        <f t="shared" si="78"/>
        <v/>
      </c>
      <c r="AE74" t="e">
        <f t="shared" si="86"/>
        <v>#N/A</v>
      </c>
      <c r="AF74" t="str">
        <f t="shared" si="79"/>
        <v/>
      </c>
      <c r="AG74" t="str">
        <f>_xlfn.XLOOKUP(AB74,'Order Page'!X$27:X$393,'Order Page'!C$27:C$393,"")</f>
        <v>Acorus Calamus</v>
      </c>
      <c r="AH74">
        <f t="shared" si="80"/>
        <v>0</v>
      </c>
      <c r="AI74">
        <f t="shared" si="81"/>
        <v>0</v>
      </c>
      <c r="AJ74">
        <f t="shared" si="92"/>
        <v>0</v>
      </c>
      <c r="AK74">
        <f t="shared" si="87"/>
        <v>0</v>
      </c>
      <c r="AL74">
        <f>IF(OR(AD73&amp;AF73&lt;&gt;AD74&amp;AF74,AK74&lt;AK73),AK73,0)+MAX(AL$4:AL73)</f>
        <v>0</v>
      </c>
      <c r="AM74">
        <f t="shared" si="88"/>
        <v>0</v>
      </c>
      <c r="AO74" s="25" t="str">
        <f t="shared" si="89"/>
        <v/>
      </c>
      <c r="AP74" s="25" t="str">
        <f t="shared" si="82"/>
        <v/>
      </c>
      <c r="AQ74" t="str">
        <f t="shared" si="90"/>
        <v/>
      </c>
      <c r="AR74" t="str">
        <f t="shared" si="83"/>
        <v/>
      </c>
      <c r="AS74">
        <f t="shared" si="84"/>
        <v>0</v>
      </c>
      <c r="AT74">
        <f t="shared" si="91"/>
        <v>0</v>
      </c>
      <c r="AU74" t="str">
        <f>_xlfn.XLOOKUP(AB74,'Order Page'!X$24:X$378,'Order Page'!B$24:B$378,0)</f>
        <v>x6</v>
      </c>
      <c r="AV74">
        <f>_xlfn.XLOOKUP(AB74,'Order Page'!X$24:X$378,'Order Page'!O$24:O$378,0)</f>
        <v>38</v>
      </c>
      <c r="AW74" s="264"/>
      <c r="AX74">
        <v>53</v>
      </c>
      <c r="AY74" t="e">
        <f t="shared" si="60"/>
        <v>#N/A</v>
      </c>
      <c r="AZ74" t="e">
        <f t="shared" si="61"/>
        <v>#N/A</v>
      </c>
      <c r="BA74" t="e">
        <f t="shared" si="62"/>
        <v>#N/A</v>
      </c>
      <c r="BB74" t="e">
        <f t="shared" si="63"/>
        <v>#N/A</v>
      </c>
      <c r="BC74" t="e">
        <f>IF(AND(BB$18&lt;1,AZ74&lt;=BC$18),IF(BB$18+BB74+SUMIF(BC$21:BC73,BD$18,BB$21:BB73)&lt;=1,BD$18,0))</f>
        <v>#N/A</v>
      </c>
      <c r="BD74" t="e">
        <f t="shared" si="39"/>
        <v>#N/A</v>
      </c>
      <c r="BE74" t="e">
        <f>IF(AND(BB$19&lt;1,AZ74&lt;=BC$19),IF(BB$19+BD74+SUMIF(BE$21:BE73,BD$19,BD$21:BD73)&lt;=1,BD$19,0))</f>
        <v>#N/A</v>
      </c>
      <c r="BF74" t="e">
        <f t="shared" si="40"/>
        <v>#N/A</v>
      </c>
      <c r="BG74">
        <f t="shared" si="36"/>
        <v>0</v>
      </c>
      <c r="BH74">
        <f t="shared" si="37"/>
        <v>0</v>
      </c>
      <c r="BI74">
        <f t="shared" si="43"/>
        <v>0</v>
      </c>
      <c r="BJ74" t="e">
        <f t="shared" si="41"/>
        <v>#N/A</v>
      </c>
      <c r="BK74" t="e">
        <f>IF(BJ74=0,BK73,IF(ROUNDDOWN(SUM(BJ$22:BJ74),0)=ROUNDDOWN(SUM(BJ$22:BJ73),0),BK73+BJ74,ROUNDDOWN(SUM(BJ$22:BJ74),0)+BJ74))</f>
        <v>#N/A</v>
      </c>
      <c r="BL74" t="e">
        <f t="shared" si="44"/>
        <v>#N/A</v>
      </c>
      <c r="BM74" t="e">
        <f t="shared" si="64"/>
        <v>#N/A</v>
      </c>
      <c r="BN74" t="e">
        <f t="shared" si="42"/>
        <v>#N/A</v>
      </c>
    </row>
    <row r="75" spans="2:66" x14ac:dyDescent="0.25">
      <c r="B75">
        <v>15</v>
      </c>
      <c r="C75">
        <f t="shared" si="65"/>
        <v>0</v>
      </c>
      <c r="D75">
        <f t="shared" si="66"/>
        <v>0</v>
      </c>
      <c r="E75">
        <f t="shared" si="67"/>
        <v>0</v>
      </c>
      <c r="F75">
        <f t="shared" si="68"/>
        <v>0</v>
      </c>
      <c r="G75">
        <f t="shared" si="69"/>
        <v>0</v>
      </c>
      <c r="H75">
        <f t="shared" si="70"/>
        <v>0</v>
      </c>
      <c r="I75">
        <f t="shared" si="71"/>
        <v>0</v>
      </c>
      <c r="J75">
        <f t="shared" si="72"/>
        <v>0</v>
      </c>
      <c r="K75">
        <f>IF(J75&gt;0,J75*10+COUNTIF(J$61:J75,J75),0)</f>
        <v>0</v>
      </c>
      <c r="L75">
        <v>72</v>
      </c>
      <c r="M75">
        <f>_xlfn.XLOOKUP(L75,'Order Page'!X$27:X$393,'Order Page'!T$27:T$393,0)</f>
        <v>0</v>
      </c>
      <c r="N75">
        <f>_xlfn.XLOOKUP(L75,'Order Page'!X$27:X$393,'Order Page'!R$27:R$393,0)</f>
        <v>0</v>
      </c>
      <c r="O75" t="str">
        <f t="shared" si="73"/>
        <v/>
      </c>
      <c r="P75" t="str">
        <f t="shared" si="74"/>
        <v/>
      </c>
      <c r="Q75" s="263"/>
      <c r="R75">
        <v>72</v>
      </c>
      <c r="S75">
        <f t="shared" si="85"/>
        <v>1</v>
      </c>
      <c r="T75">
        <f t="shared" si="75"/>
        <v>0</v>
      </c>
      <c r="U75">
        <f>_xlfn.XLOOKUP(T75,'Order Page'!X$27:X$393,'Order Page'!U$27:U$393,"")</f>
        <v>0</v>
      </c>
      <c r="W75" t="str">
        <f t="shared" si="76"/>
        <v/>
      </c>
      <c r="X75" t="str">
        <f t="shared" si="77"/>
        <v/>
      </c>
      <c r="Y75" t="str">
        <f>_xlfn.XLOOKUP(T75,'Order Page'!X$27:X$393,'Order Page'!C$27:C$393,"")</f>
        <v>Acorus Calamus</v>
      </c>
      <c r="Z75" s="264"/>
      <c r="AA75">
        <v>72</v>
      </c>
      <c r="AB75" cm="1">
        <f t="array" ref="AB75">VLOOKUP(ROW(72:72),S$4:T$153,2)</f>
        <v>0</v>
      </c>
      <c r="AD75" t="str">
        <f t="shared" si="78"/>
        <v/>
      </c>
      <c r="AE75" t="e">
        <f t="shared" si="86"/>
        <v>#N/A</v>
      </c>
      <c r="AF75" t="str">
        <f t="shared" si="79"/>
        <v/>
      </c>
      <c r="AG75" t="str">
        <f>_xlfn.XLOOKUP(AB75,'Order Page'!X$27:X$393,'Order Page'!C$27:C$393,"")</f>
        <v>Acorus Calamus</v>
      </c>
      <c r="AH75">
        <f t="shared" si="80"/>
        <v>0</v>
      </c>
      <c r="AI75">
        <f t="shared" si="81"/>
        <v>0</v>
      </c>
      <c r="AJ75">
        <f t="shared" si="92"/>
        <v>0</v>
      </c>
      <c r="AK75">
        <f t="shared" si="87"/>
        <v>0</v>
      </c>
      <c r="AL75">
        <f>IF(OR(AD74&amp;AF74&lt;&gt;AD75&amp;AF75,AK75&lt;AK74),AK74,0)+MAX(AL$4:AL74)</f>
        <v>0</v>
      </c>
      <c r="AM75">
        <f t="shared" si="88"/>
        <v>0</v>
      </c>
      <c r="AO75" s="25" t="str">
        <f t="shared" si="89"/>
        <v/>
      </c>
      <c r="AP75" s="25" t="str">
        <f t="shared" si="82"/>
        <v/>
      </c>
      <c r="AQ75" t="str">
        <f t="shared" si="90"/>
        <v/>
      </c>
      <c r="AR75" t="str">
        <f t="shared" si="83"/>
        <v/>
      </c>
      <c r="AS75">
        <f t="shared" si="84"/>
        <v>0</v>
      </c>
      <c r="AT75">
        <f t="shared" si="91"/>
        <v>0</v>
      </c>
      <c r="AU75" t="str">
        <f>_xlfn.XLOOKUP(AB75,'Order Page'!X$24:X$378,'Order Page'!B$24:B$378,0)</f>
        <v>x6</v>
      </c>
      <c r="AV75">
        <f>_xlfn.XLOOKUP(AB75,'Order Page'!X$24:X$378,'Order Page'!O$24:O$378,0)</f>
        <v>38</v>
      </c>
      <c r="AW75" s="264"/>
      <c r="AX75">
        <v>54</v>
      </c>
      <c r="AY75" t="e">
        <f t="shared" si="60"/>
        <v>#N/A</v>
      </c>
      <c r="AZ75" t="e">
        <f t="shared" si="61"/>
        <v>#N/A</v>
      </c>
      <c r="BA75" t="e">
        <f t="shared" si="62"/>
        <v>#N/A</v>
      </c>
      <c r="BB75" t="e">
        <f t="shared" si="63"/>
        <v>#N/A</v>
      </c>
      <c r="BC75" t="e">
        <f>IF(AND(BB$18&lt;1,AZ75&lt;=BC$18),IF(BB$18+BB75+SUMIF(BC$21:BC74,BD$18,BB$21:BB74)&lt;=1,BD$18,0))</f>
        <v>#N/A</v>
      </c>
      <c r="BD75" t="e">
        <f t="shared" si="39"/>
        <v>#N/A</v>
      </c>
      <c r="BE75" t="e">
        <f>IF(AND(BB$19&lt;1,AZ75&lt;=BC$19),IF(BB$19+BD75+SUMIF(BE$21:BE74,BD$19,BD$21:BD74)&lt;=1,BD$19,0))</f>
        <v>#N/A</v>
      </c>
      <c r="BF75" t="e">
        <f t="shared" si="40"/>
        <v>#N/A</v>
      </c>
      <c r="BG75">
        <f t="shared" si="36"/>
        <v>0</v>
      </c>
      <c r="BH75">
        <f t="shared" si="37"/>
        <v>0</v>
      </c>
      <c r="BI75">
        <f t="shared" si="43"/>
        <v>0</v>
      </c>
      <c r="BJ75" t="e">
        <f t="shared" si="41"/>
        <v>#N/A</v>
      </c>
      <c r="BK75" t="e">
        <f>IF(BJ75=0,BK74,IF(ROUNDDOWN(SUM(BJ$22:BJ75),0)=ROUNDDOWN(SUM(BJ$22:BJ74),0),BK74+BJ75,ROUNDDOWN(SUM(BJ$22:BJ75),0)+BJ75))</f>
        <v>#N/A</v>
      </c>
      <c r="BL75" t="e">
        <f t="shared" si="44"/>
        <v>#N/A</v>
      </c>
      <c r="BM75" t="e">
        <f t="shared" si="64"/>
        <v>#N/A</v>
      </c>
      <c r="BN75" t="e">
        <f t="shared" si="42"/>
        <v>#N/A</v>
      </c>
    </row>
    <row r="76" spans="2:66" x14ac:dyDescent="0.25">
      <c r="B76">
        <v>16</v>
      </c>
      <c r="C76">
        <f t="shared" si="65"/>
        <v>0</v>
      </c>
      <c r="D76">
        <f t="shared" si="66"/>
        <v>0</v>
      </c>
      <c r="E76">
        <f t="shared" si="67"/>
        <v>0</v>
      </c>
      <c r="F76">
        <f t="shared" si="68"/>
        <v>0</v>
      </c>
      <c r="G76">
        <f t="shared" si="69"/>
        <v>0</v>
      </c>
      <c r="H76">
        <f t="shared" si="70"/>
        <v>0</v>
      </c>
      <c r="I76">
        <f t="shared" si="71"/>
        <v>0</v>
      </c>
      <c r="J76">
        <f t="shared" si="72"/>
        <v>0</v>
      </c>
      <c r="K76">
        <f>IF(J76&gt;0,J76*10+COUNTIF(J$61:J76,J76),0)</f>
        <v>0</v>
      </c>
      <c r="L76">
        <v>73</v>
      </c>
      <c r="M76">
        <f>_xlfn.XLOOKUP(L76,'Order Page'!X$27:X$393,'Order Page'!T$27:T$393,0)</f>
        <v>0</v>
      </c>
      <c r="N76">
        <f>_xlfn.XLOOKUP(L76,'Order Page'!X$27:X$393,'Order Page'!R$27:R$393,0)</f>
        <v>0</v>
      </c>
      <c r="O76" t="str">
        <f t="shared" si="73"/>
        <v/>
      </c>
      <c r="P76" t="str">
        <f t="shared" si="74"/>
        <v/>
      </c>
      <c r="Q76" s="263"/>
      <c r="R76">
        <v>73</v>
      </c>
      <c r="S76">
        <f t="shared" si="85"/>
        <v>1</v>
      </c>
      <c r="T76">
        <f t="shared" si="75"/>
        <v>0</v>
      </c>
      <c r="U76">
        <f>_xlfn.XLOOKUP(T76,'Order Page'!X$27:X$393,'Order Page'!U$27:U$393,"")</f>
        <v>0</v>
      </c>
      <c r="W76" t="str">
        <f t="shared" si="76"/>
        <v/>
      </c>
      <c r="X76" t="str">
        <f t="shared" si="77"/>
        <v/>
      </c>
      <c r="Y76" t="str">
        <f>_xlfn.XLOOKUP(T76,'Order Page'!X$27:X$393,'Order Page'!C$27:C$393,"")</f>
        <v>Acorus Calamus</v>
      </c>
      <c r="Z76" s="264"/>
      <c r="AA76">
        <v>73</v>
      </c>
      <c r="AB76" cm="1">
        <f t="array" ref="AB76">VLOOKUP(ROW(73:73),S$4:T$153,2)</f>
        <v>0</v>
      </c>
      <c r="AD76" t="str">
        <f t="shared" si="78"/>
        <v/>
      </c>
      <c r="AE76" t="e">
        <f t="shared" si="86"/>
        <v>#N/A</v>
      </c>
      <c r="AF76" t="str">
        <f t="shared" si="79"/>
        <v/>
      </c>
      <c r="AG76" t="str">
        <f>_xlfn.XLOOKUP(AB76,'Order Page'!X$27:X$393,'Order Page'!C$27:C$393,"")</f>
        <v>Acorus Calamus</v>
      </c>
      <c r="AH76">
        <f t="shared" si="80"/>
        <v>0</v>
      </c>
      <c r="AI76">
        <f t="shared" si="81"/>
        <v>0</v>
      </c>
      <c r="AJ76">
        <f t="shared" si="92"/>
        <v>0</v>
      </c>
      <c r="AK76">
        <f t="shared" si="87"/>
        <v>0</v>
      </c>
      <c r="AL76">
        <f>IF(OR(AD75&amp;AF75&lt;&gt;AD76&amp;AF76,AK76&lt;AK75),AK75,0)+MAX(AL$4:AL75)</f>
        <v>0</v>
      </c>
      <c r="AM76">
        <f t="shared" si="88"/>
        <v>0</v>
      </c>
      <c r="AO76" s="25" t="str">
        <f t="shared" si="89"/>
        <v/>
      </c>
      <c r="AP76" s="25" t="str">
        <f t="shared" si="82"/>
        <v/>
      </c>
      <c r="AQ76" t="str">
        <f t="shared" si="90"/>
        <v/>
      </c>
      <c r="AR76" t="str">
        <f t="shared" si="83"/>
        <v/>
      </c>
      <c r="AS76">
        <f t="shared" si="84"/>
        <v>0</v>
      </c>
      <c r="AT76">
        <f t="shared" si="91"/>
        <v>0</v>
      </c>
      <c r="AU76" t="str">
        <f>_xlfn.XLOOKUP(AB76,'Order Page'!X$24:X$378,'Order Page'!B$24:B$378,0)</f>
        <v>x6</v>
      </c>
      <c r="AV76">
        <f>_xlfn.XLOOKUP(AB76,'Order Page'!X$24:X$378,'Order Page'!O$24:O$378,0)</f>
        <v>38</v>
      </c>
      <c r="AW76" s="264"/>
      <c r="AX76">
        <v>55</v>
      </c>
      <c r="AY76" t="e">
        <f t="shared" si="60"/>
        <v>#N/A</v>
      </c>
      <c r="AZ76" t="e">
        <f t="shared" si="61"/>
        <v>#N/A</v>
      </c>
      <c r="BA76" t="e">
        <f t="shared" si="62"/>
        <v>#N/A</v>
      </c>
      <c r="BB76" t="e">
        <f t="shared" si="63"/>
        <v>#N/A</v>
      </c>
      <c r="BC76" t="e">
        <f>IF(AND(BB$18&lt;1,AZ76&lt;=BC$18),IF(BB$18+BB76+SUMIF(BC$21:BC75,BD$18,BB$21:BB75)&lt;=1,BD$18,0))</f>
        <v>#N/A</v>
      </c>
      <c r="BD76" t="e">
        <f t="shared" si="39"/>
        <v>#N/A</v>
      </c>
      <c r="BE76" t="e">
        <f>IF(AND(BB$19&lt;1,AZ76&lt;=BC$19),IF(BB$19+BD76+SUMIF(BE$21:BE75,BD$19,BD$21:BD75)&lt;=1,BD$19,0))</f>
        <v>#N/A</v>
      </c>
      <c r="BF76" t="e">
        <f t="shared" si="40"/>
        <v>#N/A</v>
      </c>
      <c r="BG76">
        <f t="shared" si="36"/>
        <v>0</v>
      </c>
      <c r="BH76">
        <f t="shared" si="37"/>
        <v>0</v>
      </c>
      <c r="BI76">
        <f t="shared" si="43"/>
        <v>0</v>
      </c>
      <c r="BJ76" t="e">
        <f t="shared" si="41"/>
        <v>#N/A</v>
      </c>
      <c r="BK76" t="e">
        <f>IF(BJ76=0,BK75,IF(ROUNDDOWN(SUM(BJ$22:BJ76),0)=ROUNDDOWN(SUM(BJ$22:BJ75),0),BK75+BJ76,ROUNDDOWN(SUM(BJ$22:BJ76),0)+BJ76))</f>
        <v>#N/A</v>
      </c>
      <c r="BL76" t="e">
        <f t="shared" si="44"/>
        <v>#N/A</v>
      </c>
      <c r="BM76" t="e">
        <f t="shared" si="64"/>
        <v>#N/A</v>
      </c>
      <c r="BN76" t="e">
        <f t="shared" si="42"/>
        <v>#N/A</v>
      </c>
    </row>
    <row r="77" spans="2:66" x14ac:dyDescent="0.25">
      <c r="B77">
        <v>17</v>
      </c>
      <c r="C77">
        <f t="shared" si="65"/>
        <v>0</v>
      </c>
      <c r="D77">
        <f t="shared" si="66"/>
        <v>0</v>
      </c>
      <c r="E77">
        <f t="shared" si="67"/>
        <v>0</v>
      </c>
      <c r="F77">
        <f t="shared" si="68"/>
        <v>0</v>
      </c>
      <c r="G77">
        <f t="shared" si="69"/>
        <v>0</v>
      </c>
      <c r="H77">
        <f t="shared" si="70"/>
        <v>0</v>
      </c>
      <c r="I77">
        <f t="shared" si="71"/>
        <v>0</v>
      </c>
      <c r="J77">
        <f t="shared" si="72"/>
        <v>0</v>
      </c>
      <c r="K77">
        <f>IF(J77&gt;0,J77*10+COUNTIF(J$61:J77,J77),0)</f>
        <v>0</v>
      </c>
      <c r="L77">
        <v>74</v>
      </c>
      <c r="M77">
        <f>_xlfn.XLOOKUP(L77,'Order Page'!X$27:X$393,'Order Page'!T$27:T$393,0)</f>
        <v>0</v>
      </c>
      <c r="N77">
        <f>_xlfn.XLOOKUP(L77,'Order Page'!X$27:X$393,'Order Page'!R$27:R$393,0)</f>
        <v>0</v>
      </c>
      <c r="O77" t="str">
        <f t="shared" si="73"/>
        <v/>
      </c>
      <c r="P77" t="str">
        <f t="shared" si="74"/>
        <v/>
      </c>
      <c r="Q77" s="263"/>
      <c r="R77">
        <v>74</v>
      </c>
      <c r="S77">
        <f t="shared" si="85"/>
        <v>1</v>
      </c>
      <c r="T77">
        <f t="shared" si="75"/>
        <v>0</v>
      </c>
      <c r="U77">
        <f>_xlfn.XLOOKUP(T77,'Order Page'!X$27:X$393,'Order Page'!U$27:U$393,"")</f>
        <v>0</v>
      </c>
      <c r="W77" t="str">
        <f t="shared" si="76"/>
        <v/>
      </c>
      <c r="X77" t="str">
        <f t="shared" si="77"/>
        <v/>
      </c>
      <c r="Y77" t="str">
        <f>_xlfn.XLOOKUP(T77,'Order Page'!X$27:X$393,'Order Page'!C$27:C$393,"")</f>
        <v>Acorus Calamus</v>
      </c>
      <c r="Z77" s="264"/>
      <c r="AA77">
        <v>74</v>
      </c>
      <c r="AB77" cm="1">
        <f t="array" ref="AB77">VLOOKUP(ROW(74:74),S$4:T$153,2)</f>
        <v>0</v>
      </c>
      <c r="AD77" t="str">
        <f t="shared" si="78"/>
        <v/>
      </c>
      <c r="AE77" t="e">
        <f t="shared" si="86"/>
        <v>#N/A</v>
      </c>
      <c r="AF77" t="str">
        <f t="shared" si="79"/>
        <v/>
      </c>
      <c r="AG77" t="str">
        <f>_xlfn.XLOOKUP(AB77,'Order Page'!X$27:X$393,'Order Page'!C$27:C$393,"")</f>
        <v>Acorus Calamus</v>
      </c>
      <c r="AH77">
        <f t="shared" si="80"/>
        <v>0</v>
      </c>
      <c r="AI77">
        <f t="shared" si="81"/>
        <v>0</v>
      </c>
      <c r="AJ77">
        <f t="shared" si="92"/>
        <v>0</v>
      </c>
      <c r="AK77">
        <f t="shared" si="87"/>
        <v>0</v>
      </c>
      <c r="AL77">
        <f>IF(OR(AD76&amp;AF76&lt;&gt;AD77&amp;AF77,AK77&lt;AK76),AK76,0)+MAX(AL$4:AL76)</f>
        <v>0</v>
      </c>
      <c r="AM77">
        <f t="shared" si="88"/>
        <v>0</v>
      </c>
      <c r="AO77" s="25" t="str">
        <f t="shared" si="89"/>
        <v/>
      </c>
      <c r="AP77" s="25" t="str">
        <f t="shared" si="82"/>
        <v/>
      </c>
      <c r="AQ77" t="str">
        <f t="shared" si="90"/>
        <v/>
      </c>
      <c r="AR77" t="str">
        <f t="shared" si="83"/>
        <v/>
      </c>
      <c r="AS77">
        <f t="shared" si="84"/>
        <v>0</v>
      </c>
      <c r="AT77">
        <f t="shared" si="91"/>
        <v>0</v>
      </c>
      <c r="AU77" t="str">
        <f>_xlfn.XLOOKUP(AB77,'Order Page'!X$24:X$378,'Order Page'!B$24:B$378,0)</f>
        <v>x6</v>
      </c>
      <c r="AV77">
        <f>_xlfn.XLOOKUP(AB77,'Order Page'!X$24:X$378,'Order Page'!O$24:O$378,0)</f>
        <v>38</v>
      </c>
      <c r="AW77" s="264"/>
      <c r="AX77">
        <v>56</v>
      </c>
      <c r="AY77" t="e">
        <f t="shared" si="60"/>
        <v>#N/A</v>
      </c>
      <c r="AZ77" t="e">
        <f t="shared" si="61"/>
        <v>#N/A</v>
      </c>
      <c r="BA77" t="e">
        <f t="shared" si="62"/>
        <v>#N/A</v>
      </c>
      <c r="BB77" t="e">
        <f t="shared" si="63"/>
        <v>#N/A</v>
      </c>
      <c r="BC77" t="e">
        <f>IF(AND(BB$18&lt;1,AZ77&lt;=BC$18),IF(BB$18+BB77+SUMIF(BC$21:BC76,BD$18,BB$21:BB76)&lt;=1,BD$18,0))</f>
        <v>#N/A</v>
      </c>
      <c r="BD77" t="e">
        <f t="shared" si="39"/>
        <v>#N/A</v>
      </c>
      <c r="BE77" t="e">
        <f>IF(AND(BB$19&lt;1,AZ77&lt;=BC$19),IF(BB$19+BD77+SUMIF(BE$21:BE76,BD$19,BD$21:BD76)&lt;=1,BD$19,0))</f>
        <v>#N/A</v>
      </c>
      <c r="BF77" t="e">
        <f t="shared" si="40"/>
        <v>#N/A</v>
      </c>
      <c r="BG77">
        <f t="shared" si="36"/>
        <v>0</v>
      </c>
      <c r="BH77">
        <f t="shared" si="37"/>
        <v>0</v>
      </c>
      <c r="BI77">
        <f t="shared" si="43"/>
        <v>0</v>
      </c>
      <c r="BJ77" t="e">
        <f t="shared" si="41"/>
        <v>#N/A</v>
      </c>
      <c r="BK77" t="e">
        <f>IF(BJ77=0,BK76,IF(ROUNDDOWN(SUM(BJ$22:BJ77),0)=ROUNDDOWN(SUM(BJ$22:BJ76),0),BK76+BJ77,ROUNDDOWN(SUM(BJ$22:BJ77),0)+BJ77))</f>
        <v>#N/A</v>
      </c>
      <c r="BL77" t="e">
        <f t="shared" si="44"/>
        <v>#N/A</v>
      </c>
      <c r="BM77" t="e">
        <f t="shared" si="64"/>
        <v>#N/A</v>
      </c>
      <c r="BN77" t="e">
        <f t="shared" si="42"/>
        <v>#N/A</v>
      </c>
    </row>
    <row r="78" spans="2:66" x14ac:dyDescent="0.25">
      <c r="B78">
        <v>18</v>
      </c>
      <c r="C78">
        <f t="shared" si="65"/>
        <v>0</v>
      </c>
      <c r="D78">
        <f t="shared" si="66"/>
        <v>0</v>
      </c>
      <c r="E78">
        <f t="shared" si="67"/>
        <v>0</v>
      </c>
      <c r="F78">
        <f t="shared" si="68"/>
        <v>0</v>
      </c>
      <c r="G78">
        <f t="shared" si="69"/>
        <v>0</v>
      </c>
      <c r="H78">
        <f t="shared" si="70"/>
        <v>0</v>
      </c>
      <c r="I78">
        <f t="shared" si="71"/>
        <v>0</v>
      </c>
      <c r="J78">
        <f t="shared" si="72"/>
        <v>0</v>
      </c>
      <c r="K78">
        <f>IF(J78&gt;0,J78*10+COUNTIF(J$61:J78,J78),0)</f>
        <v>0</v>
      </c>
      <c r="L78">
        <v>75</v>
      </c>
      <c r="M78">
        <f>_xlfn.XLOOKUP(L78,'Order Page'!X$27:X$393,'Order Page'!T$27:T$393,0)</f>
        <v>0</v>
      </c>
      <c r="N78">
        <f>_xlfn.XLOOKUP(L78,'Order Page'!X$27:X$393,'Order Page'!R$27:R$393,0)</f>
        <v>0</v>
      </c>
      <c r="O78" t="str">
        <f t="shared" si="73"/>
        <v/>
      </c>
      <c r="P78" t="str">
        <f t="shared" si="74"/>
        <v/>
      </c>
      <c r="Q78" s="263"/>
      <c r="R78">
        <v>75</v>
      </c>
      <c r="S78">
        <f t="shared" si="85"/>
        <v>1</v>
      </c>
      <c r="T78">
        <f t="shared" si="75"/>
        <v>0</v>
      </c>
      <c r="U78">
        <f>_xlfn.XLOOKUP(T78,'Order Page'!X$27:X$393,'Order Page'!U$27:U$393,"")</f>
        <v>0</v>
      </c>
      <c r="W78" t="str">
        <f t="shared" si="76"/>
        <v/>
      </c>
      <c r="X78" t="str">
        <f t="shared" si="77"/>
        <v/>
      </c>
      <c r="Y78" t="str">
        <f>_xlfn.XLOOKUP(T78,'Order Page'!X$27:X$393,'Order Page'!C$27:C$393,"")</f>
        <v>Acorus Calamus</v>
      </c>
      <c r="Z78" s="264"/>
      <c r="AA78">
        <v>75</v>
      </c>
      <c r="AB78" cm="1">
        <f t="array" ref="AB78">VLOOKUP(ROW(75:75),S$4:T$153,2)</f>
        <v>0</v>
      </c>
      <c r="AD78" t="str">
        <f t="shared" si="78"/>
        <v/>
      </c>
      <c r="AE78" t="e">
        <f t="shared" si="86"/>
        <v>#N/A</v>
      </c>
      <c r="AF78" t="str">
        <f t="shared" si="79"/>
        <v/>
      </c>
      <c r="AG78" t="str">
        <f>_xlfn.XLOOKUP(AB78,'Order Page'!X$27:X$393,'Order Page'!C$27:C$393,"")</f>
        <v>Acorus Calamus</v>
      </c>
      <c r="AH78">
        <f t="shared" si="80"/>
        <v>0</v>
      </c>
      <c r="AI78">
        <f t="shared" si="81"/>
        <v>0</v>
      </c>
      <c r="AJ78">
        <f t="shared" si="92"/>
        <v>0</v>
      </c>
      <c r="AK78">
        <f t="shared" si="87"/>
        <v>0</v>
      </c>
      <c r="AL78">
        <f>IF(OR(AD77&amp;AF77&lt;&gt;AD78&amp;AF78,AK78&lt;AK77),AK77,0)+MAX(AL$4:AL77)</f>
        <v>0</v>
      </c>
      <c r="AM78">
        <f t="shared" si="88"/>
        <v>0</v>
      </c>
      <c r="AO78" s="25" t="str">
        <f t="shared" si="89"/>
        <v/>
      </c>
      <c r="AP78" s="25" t="str">
        <f t="shared" si="82"/>
        <v/>
      </c>
      <c r="AQ78" t="str">
        <f t="shared" si="90"/>
        <v/>
      </c>
      <c r="AR78" t="str">
        <f t="shared" si="83"/>
        <v/>
      </c>
      <c r="AS78">
        <f t="shared" si="84"/>
        <v>0</v>
      </c>
      <c r="AT78">
        <f t="shared" si="91"/>
        <v>0</v>
      </c>
      <c r="AU78" t="str">
        <f>_xlfn.XLOOKUP(AB78,'Order Page'!X$24:X$378,'Order Page'!B$24:B$378,0)</f>
        <v>x6</v>
      </c>
      <c r="AV78">
        <f>_xlfn.XLOOKUP(AB78,'Order Page'!X$24:X$378,'Order Page'!O$24:O$378,0)</f>
        <v>38</v>
      </c>
      <c r="AW78" s="264"/>
      <c r="AX78">
        <v>57</v>
      </c>
      <c r="AY78" t="e">
        <f t="shared" si="60"/>
        <v>#N/A</v>
      </c>
      <c r="AZ78" t="e">
        <f t="shared" si="61"/>
        <v>#N/A</v>
      </c>
      <c r="BA78" t="e">
        <f t="shared" si="62"/>
        <v>#N/A</v>
      </c>
      <c r="BB78" t="e">
        <f t="shared" si="63"/>
        <v>#N/A</v>
      </c>
      <c r="BC78" t="e">
        <f>IF(AND(BB$18&lt;1,AZ78&lt;=BC$18),IF(BB$18+BB78+SUMIF(BC$21:BC77,BD$18,BB$21:BB77)&lt;=1,BD$18,0))</f>
        <v>#N/A</v>
      </c>
      <c r="BD78" t="e">
        <f t="shared" si="39"/>
        <v>#N/A</v>
      </c>
      <c r="BE78" t="e">
        <f>IF(AND(BB$19&lt;1,AZ78&lt;=BC$19),IF(BB$19+BD78+SUMIF(BE$21:BE77,BD$19,BD$21:BD77)&lt;=1,BD$19,0))</f>
        <v>#N/A</v>
      </c>
      <c r="BF78" t="e">
        <f t="shared" si="40"/>
        <v>#N/A</v>
      </c>
      <c r="BG78">
        <f t="shared" si="36"/>
        <v>0</v>
      </c>
      <c r="BH78">
        <f t="shared" si="37"/>
        <v>0</v>
      </c>
      <c r="BI78">
        <f t="shared" si="43"/>
        <v>0</v>
      </c>
      <c r="BJ78" t="e">
        <f t="shared" si="41"/>
        <v>#N/A</v>
      </c>
      <c r="BK78" t="e">
        <f>IF(BJ78=0,BK77,IF(ROUNDDOWN(SUM(BJ$22:BJ78),0)=ROUNDDOWN(SUM(BJ$22:BJ77),0),BK77+BJ78,ROUNDDOWN(SUM(BJ$22:BJ78),0)+BJ78))</f>
        <v>#N/A</v>
      </c>
      <c r="BL78" t="e">
        <f t="shared" si="44"/>
        <v>#N/A</v>
      </c>
      <c r="BM78" t="e">
        <f t="shared" si="64"/>
        <v>#N/A</v>
      </c>
      <c r="BN78" t="e">
        <f t="shared" si="42"/>
        <v>#N/A</v>
      </c>
    </row>
    <row r="79" spans="2:66" x14ac:dyDescent="0.25">
      <c r="B79">
        <v>19</v>
      </c>
      <c r="C79">
        <f t="shared" si="65"/>
        <v>0</v>
      </c>
      <c r="D79">
        <f t="shared" si="66"/>
        <v>0</v>
      </c>
      <c r="E79">
        <f t="shared" si="67"/>
        <v>0</v>
      </c>
      <c r="F79">
        <f t="shared" si="68"/>
        <v>0</v>
      </c>
      <c r="G79">
        <f t="shared" si="69"/>
        <v>0</v>
      </c>
      <c r="H79">
        <f t="shared" si="70"/>
        <v>0</v>
      </c>
      <c r="I79">
        <f t="shared" si="71"/>
        <v>0</v>
      </c>
      <c r="J79">
        <f t="shared" si="72"/>
        <v>0</v>
      </c>
      <c r="K79">
        <f>IF(J79&gt;0,J79*10+COUNTIF(J$61:J79,J79),0)</f>
        <v>0</v>
      </c>
      <c r="L79">
        <v>76</v>
      </c>
      <c r="M79">
        <f>_xlfn.XLOOKUP(L79,'Order Page'!X$27:X$393,'Order Page'!T$27:T$393,0)</f>
        <v>0</v>
      </c>
      <c r="N79">
        <f>_xlfn.XLOOKUP(L79,'Order Page'!X$27:X$393,'Order Page'!R$27:R$393,0)</f>
        <v>0</v>
      </c>
      <c r="O79" t="str">
        <f t="shared" si="73"/>
        <v/>
      </c>
      <c r="P79" t="str">
        <f t="shared" si="74"/>
        <v/>
      </c>
      <c r="Q79" s="263"/>
      <c r="R79">
        <v>76</v>
      </c>
      <c r="S79">
        <f t="shared" si="85"/>
        <v>1</v>
      </c>
      <c r="T79">
        <f t="shared" si="75"/>
        <v>0</v>
      </c>
      <c r="U79">
        <f>_xlfn.XLOOKUP(T79,'Order Page'!X$27:X$393,'Order Page'!U$27:U$393,"")</f>
        <v>0</v>
      </c>
      <c r="W79" t="str">
        <f t="shared" si="76"/>
        <v/>
      </c>
      <c r="X79" t="str">
        <f t="shared" si="77"/>
        <v/>
      </c>
      <c r="Y79" t="str">
        <f>_xlfn.XLOOKUP(T79,'Order Page'!X$27:X$393,'Order Page'!C$27:C$393,"")</f>
        <v>Acorus Calamus</v>
      </c>
      <c r="Z79" s="264"/>
      <c r="AA79">
        <v>76</v>
      </c>
      <c r="AB79" cm="1">
        <f t="array" ref="AB79">VLOOKUP(ROW(76:76),S$4:T$153,2)</f>
        <v>0</v>
      </c>
      <c r="AD79" t="str">
        <f t="shared" si="78"/>
        <v/>
      </c>
      <c r="AE79" t="e">
        <f t="shared" si="86"/>
        <v>#N/A</v>
      </c>
      <c r="AF79" t="str">
        <f t="shared" si="79"/>
        <v/>
      </c>
      <c r="AG79" t="str">
        <f>_xlfn.XLOOKUP(AB79,'Order Page'!X$27:X$393,'Order Page'!C$27:C$393,"")</f>
        <v>Acorus Calamus</v>
      </c>
      <c r="AH79">
        <f t="shared" si="80"/>
        <v>0</v>
      </c>
      <c r="AI79">
        <f t="shared" si="81"/>
        <v>0</v>
      </c>
      <c r="AJ79">
        <f t="shared" si="92"/>
        <v>0</v>
      </c>
      <c r="AK79">
        <f t="shared" si="87"/>
        <v>0</v>
      </c>
      <c r="AL79">
        <f>IF(OR(AD78&amp;AF78&lt;&gt;AD79&amp;AF79,AK79&lt;AK78),AK78,0)+MAX(AL$4:AL78)</f>
        <v>0</v>
      </c>
      <c r="AM79">
        <f t="shared" si="88"/>
        <v>0</v>
      </c>
      <c r="AO79" s="25" t="str">
        <f t="shared" si="89"/>
        <v/>
      </c>
      <c r="AP79" s="25" t="str">
        <f t="shared" si="82"/>
        <v/>
      </c>
      <c r="AQ79" t="str">
        <f t="shared" si="90"/>
        <v/>
      </c>
      <c r="AR79" t="str">
        <f t="shared" si="83"/>
        <v/>
      </c>
      <c r="AS79">
        <f t="shared" si="84"/>
        <v>0</v>
      </c>
      <c r="AT79">
        <f t="shared" si="91"/>
        <v>0</v>
      </c>
      <c r="AU79" t="str">
        <f>_xlfn.XLOOKUP(AB79,'Order Page'!X$24:X$378,'Order Page'!B$24:B$378,0)</f>
        <v>x6</v>
      </c>
      <c r="AV79">
        <f>_xlfn.XLOOKUP(AB79,'Order Page'!X$24:X$378,'Order Page'!O$24:O$378,0)</f>
        <v>38</v>
      </c>
      <c r="AW79" s="264"/>
      <c r="AX79">
        <v>58</v>
      </c>
      <c r="AY79" t="e">
        <f t="shared" si="60"/>
        <v>#N/A</v>
      </c>
      <c r="AZ79" t="e">
        <f t="shared" si="61"/>
        <v>#N/A</v>
      </c>
      <c r="BA79" t="e">
        <f t="shared" si="62"/>
        <v>#N/A</v>
      </c>
      <c r="BB79" t="e">
        <f t="shared" si="63"/>
        <v>#N/A</v>
      </c>
      <c r="BC79" t="e">
        <f>IF(AND(BB$18&lt;1,AZ79&lt;=BC$18),IF(BB$18+BB79+SUMIF(BC$21:BC78,BD$18,BB$21:BB78)&lt;=1,BD$18,0))</f>
        <v>#N/A</v>
      </c>
      <c r="BD79" t="e">
        <f t="shared" si="39"/>
        <v>#N/A</v>
      </c>
      <c r="BE79" t="e">
        <f>IF(AND(BB$19&lt;1,AZ79&lt;=BC$19),IF(BB$19+BD79+SUMIF(BE$21:BE78,BD$19,BD$21:BD78)&lt;=1,BD$19,0))</f>
        <v>#N/A</v>
      </c>
      <c r="BF79" t="e">
        <f t="shared" si="40"/>
        <v>#N/A</v>
      </c>
      <c r="BG79">
        <f t="shared" si="36"/>
        <v>0</v>
      </c>
      <c r="BH79">
        <f t="shared" si="37"/>
        <v>0</v>
      </c>
      <c r="BI79">
        <f t="shared" si="43"/>
        <v>0</v>
      </c>
      <c r="BJ79" t="e">
        <f t="shared" si="41"/>
        <v>#N/A</v>
      </c>
      <c r="BK79" t="e">
        <f>IF(BJ79=0,BK78,IF(ROUNDDOWN(SUM(BJ$22:BJ79),0)=ROUNDDOWN(SUM(BJ$22:BJ78),0),BK78+BJ79,ROUNDDOWN(SUM(BJ$22:BJ79),0)+BJ79))</f>
        <v>#N/A</v>
      </c>
      <c r="BL79" t="e">
        <f t="shared" si="44"/>
        <v>#N/A</v>
      </c>
      <c r="BM79" t="e">
        <f t="shared" si="64"/>
        <v>#N/A</v>
      </c>
      <c r="BN79" t="e">
        <f t="shared" si="42"/>
        <v>#N/A</v>
      </c>
    </row>
    <row r="80" spans="2:66" x14ac:dyDescent="0.25">
      <c r="B80">
        <v>20</v>
      </c>
      <c r="C80">
        <f t="shared" si="65"/>
        <v>0</v>
      </c>
      <c r="D80">
        <f t="shared" si="66"/>
        <v>0</v>
      </c>
      <c r="E80">
        <f t="shared" si="67"/>
        <v>0</v>
      </c>
      <c r="F80">
        <f t="shared" si="68"/>
        <v>0</v>
      </c>
      <c r="G80">
        <f t="shared" si="69"/>
        <v>0</v>
      </c>
      <c r="H80">
        <f t="shared" si="70"/>
        <v>0</v>
      </c>
      <c r="I80">
        <f t="shared" si="71"/>
        <v>0</v>
      </c>
      <c r="J80">
        <f t="shared" si="72"/>
        <v>0</v>
      </c>
      <c r="K80">
        <f>IF(J80&gt;0,J80*10+COUNTIF(J$61:J80,J80),0)</f>
        <v>0</v>
      </c>
      <c r="L80">
        <v>77</v>
      </c>
      <c r="M80">
        <f>_xlfn.XLOOKUP(L80,'Order Page'!X$27:X$393,'Order Page'!T$27:T$393,0)</f>
        <v>0</v>
      </c>
      <c r="N80">
        <f>_xlfn.XLOOKUP(L80,'Order Page'!X$27:X$393,'Order Page'!R$27:R$393,0)</f>
        <v>0</v>
      </c>
      <c r="O80" t="str">
        <f t="shared" si="73"/>
        <v/>
      </c>
      <c r="P80" t="str">
        <f t="shared" si="74"/>
        <v/>
      </c>
      <c r="Q80" s="263"/>
      <c r="R80">
        <v>77</v>
      </c>
      <c r="S80">
        <f t="shared" si="85"/>
        <v>1</v>
      </c>
      <c r="T80">
        <f t="shared" si="75"/>
        <v>0</v>
      </c>
      <c r="U80">
        <f>_xlfn.XLOOKUP(T80,'Order Page'!X$27:X$393,'Order Page'!U$27:U$393,"")</f>
        <v>0</v>
      </c>
      <c r="W80" t="str">
        <f t="shared" si="76"/>
        <v/>
      </c>
      <c r="X80" t="str">
        <f t="shared" si="77"/>
        <v/>
      </c>
      <c r="Y80" t="str">
        <f>_xlfn.XLOOKUP(T80,'Order Page'!X$27:X$393,'Order Page'!C$27:C$393,"")</f>
        <v>Acorus Calamus</v>
      </c>
      <c r="Z80" s="264"/>
      <c r="AA80">
        <v>77</v>
      </c>
      <c r="AB80" cm="1">
        <f t="array" ref="AB80">VLOOKUP(ROW(77:77),S$4:T$153,2)</f>
        <v>0</v>
      </c>
      <c r="AD80" t="str">
        <f t="shared" si="78"/>
        <v/>
      </c>
      <c r="AE80" t="e">
        <f t="shared" si="86"/>
        <v>#N/A</v>
      </c>
      <c r="AF80" t="str">
        <f t="shared" si="79"/>
        <v/>
      </c>
      <c r="AG80" t="str">
        <f>_xlfn.XLOOKUP(AB80,'Order Page'!X$27:X$393,'Order Page'!C$27:C$393,"")</f>
        <v>Acorus Calamus</v>
      </c>
      <c r="AH80">
        <f t="shared" si="80"/>
        <v>0</v>
      </c>
      <c r="AI80">
        <f t="shared" si="81"/>
        <v>0</v>
      </c>
      <c r="AJ80">
        <f t="shared" si="92"/>
        <v>0</v>
      </c>
      <c r="AK80">
        <f t="shared" si="87"/>
        <v>0</v>
      </c>
      <c r="AL80">
        <f>IF(OR(AD79&amp;AF79&lt;&gt;AD80&amp;AF80,AK80&lt;AK79),AK79,0)+MAX(AL$4:AL79)</f>
        <v>0</v>
      </c>
      <c r="AM80">
        <f t="shared" si="88"/>
        <v>0</v>
      </c>
      <c r="AO80" s="25" t="str">
        <f t="shared" si="89"/>
        <v/>
      </c>
      <c r="AP80" s="25" t="str">
        <f t="shared" si="82"/>
        <v/>
      </c>
      <c r="AQ80" t="str">
        <f t="shared" si="90"/>
        <v/>
      </c>
      <c r="AR80" t="str">
        <f t="shared" si="83"/>
        <v/>
      </c>
      <c r="AS80">
        <f t="shared" si="84"/>
        <v>0</v>
      </c>
      <c r="AT80">
        <f t="shared" si="91"/>
        <v>0</v>
      </c>
      <c r="AU80" t="str">
        <f>_xlfn.XLOOKUP(AB80,'Order Page'!X$24:X$378,'Order Page'!B$24:B$378,0)</f>
        <v>x6</v>
      </c>
      <c r="AV80">
        <f>_xlfn.XLOOKUP(AB80,'Order Page'!X$24:X$378,'Order Page'!O$24:O$378,0)</f>
        <v>38</v>
      </c>
      <c r="AW80" s="264"/>
      <c r="AX80">
        <v>59</v>
      </c>
      <c r="AY80" t="e">
        <f t="shared" si="60"/>
        <v>#N/A</v>
      </c>
      <c r="AZ80" t="e">
        <f t="shared" si="61"/>
        <v>#N/A</v>
      </c>
      <c r="BA80" t="e">
        <f t="shared" si="62"/>
        <v>#N/A</v>
      </c>
      <c r="BB80" t="e">
        <f t="shared" si="63"/>
        <v>#N/A</v>
      </c>
      <c r="BC80" t="e">
        <f>IF(AND(BB$18&lt;1,AZ80&lt;=BC$18),IF(BB$18+BB80+SUMIF(BC$21:BC79,BD$18,BB$21:BB79)&lt;=1,BD$18,0))</f>
        <v>#N/A</v>
      </c>
      <c r="BD80" t="e">
        <f t="shared" si="39"/>
        <v>#N/A</v>
      </c>
      <c r="BE80" t="e">
        <f>IF(AND(BB$19&lt;1,AZ80&lt;=BC$19),IF(BB$19+BD80+SUMIF(BE$21:BE79,BD$19,BD$21:BD79)&lt;=1,BD$19,0))</f>
        <v>#N/A</v>
      </c>
      <c r="BF80" t="e">
        <f t="shared" si="40"/>
        <v>#N/A</v>
      </c>
      <c r="BG80">
        <f t="shared" si="36"/>
        <v>0</v>
      </c>
      <c r="BH80">
        <f t="shared" si="37"/>
        <v>0</v>
      </c>
      <c r="BI80">
        <f t="shared" si="43"/>
        <v>0</v>
      </c>
      <c r="BJ80" t="e">
        <f t="shared" si="41"/>
        <v>#N/A</v>
      </c>
      <c r="BK80" t="e">
        <f>IF(BJ80=0,BK79,IF(ROUNDDOWN(SUM(BJ$22:BJ80),0)=ROUNDDOWN(SUM(BJ$22:BJ79),0),BK79+BJ80,ROUNDDOWN(SUM(BJ$22:BJ80),0)+BJ80))</f>
        <v>#N/A</v>
      </c>
      <c r="BL80" t="e">
        <f t="shared" si="44"/>
        <v>#N/A</v>
      </c>
      <c r="BM80" t="e">
        <f t="shared" si="64"/>
        <v>#N/A</v>
      </c>
      <c r="BN80" t="e">
        <f t="shared" si="42"/>
        <v>#N/A</v>
      </c>
    </row>
    <row r="81" spans="1:66" x14ac:dyDescent="0.25">
      <c r="L81">
        <v>78</v>
      </c>
      <c r="M81">
        <f>_xlfn.XLOOKUP(L81,'Order Page'!X$27:X$393,'Order Page'!T$27:T$393,0)</f>
        <v>0</v>
      </c>
      <c r="N81">
        <f>_xlfn.XLOOKUP(L81,'Order Page'!X$27:X$393,'Order Page'!R$27:R$393,0)</f>
        <v>0</v>
      </c>
      <c r="O81" t="str">
        <f t="shared" si="73"/>
        <v/>
      </c>
      <c r="P81" t="str">
        <f t="shared" si="74"/>
        <v/>
      </c>
      <c r="Q81" s="263"/>
      <c r="R81">
        <v>78</v>
      </c>
      <c r="S81">
        <f t="shared" si="85"/>
        <v>1</v>
      </c>
      <c r="T81">
        <f t="shared" si="75"/>
        <v>0</v>
      </c>
      <c r="U81">
        <f>_xlfn.XLOOKUP(T81,'Order Page'!X$27:X$393,'Order Page'!U$27:U$393,"")</f>
        <v>0</v>
      </c>
      <c r="W81" t="str">
        <f t="shared" si="76"/>
        <v/>
      </c>
      <c r="X81" t="str">
        <f t="shared" si="77"/>
        <v/>
      </c>
      <c r="Y81" t="str">
        <f>_xlfn.XLOOKUP(T81,'Order Page'!X$27:X$393,'Order Page'!C$27:C$393,"")</f>
        <v>Acorus Calamus</v>
      </c>
      <c r="Z81" s="264"/>
      <c r="AA81">
        <v>78</v>
      </c>
      <c r="AB81" cm="1">
        <f t="array" ref="AB81">VLOOKUP(ROW(78:78),S$4:T$153,2)</f>
        <v>0</v>
      </c>
      <c r="AD81" t="str">
        <f t="shared" si="78"/>
        <v/>
      </c>
      <c r="AE81" t="e">
        <f t="shared" si="86"/>
        <v>#N/A</v>
      </c>
      <c r="AF81" t="str">
        <f t="shared" si="79"/>
        <v/>
      </c>
      <c r="AG81" t="str">
        <f>_xlfn.XLOOKUP(AB81,'Order Page'!X$27:X$393,'Order Page'!C$27:C$393,"")</f>
        <v>Acorus Calamus</v>
      </c>
      <c r="AH81">
        <f t="shared" si="80"/>
        <v>0</v>
      </c>
      <c r="AI81">
        <f t="shared" si="81"/>
        <v>0</v>
      </c>
      <c r="AJ81">
        <f t="shared" si="92"/>
        <v>0</v>
      </c>
      <c r="AK81">
        <f t="shared" si="87"/>
        <v>0</v>
      </c>
      <c r="AL81">
        <f>IF(OR(AD80&amp;AF80&lt;&gt;AD81&amp;AF81,AK81&lt;AK80),AK80,0)+MAX(AL$4:AL80)</f>
        <v>0</v>
      </c>
      <c r="AM81">
        <f t="shared" si="88"/>
        <v>0</v>
      </c>
      <c r="AO81" s="25" t="str">
        <f t="shared" si="89"/>
        <v/>
      </c>
      <c r="AP81" s="25" t="str">
        <f t="shared" si="82"/>
        <v/>
      </c>
      <c r="AQ81" t="str">
        <f t="shared" si="90"/>
        <v/>
      </c>
      <c r="AR81" t="str">
        <f t="shared" si="83"/>
        <v/>
      </c>
      <c r="AS81">
        <f t="shared" si="84"/>
        <v>0</v>
      </c>
      <c r="AT81">
        <f t="shared" si="91"/>
        <v>0</v>
      </c>
      <c r="AU81" t="str">
        <f>_xlfn.XLOOKUP(AB81,'Order Page'!X$24:X$378,'Order Page'!B$24:B$378,0)</f>
        <v>x6</v>
      </c>
      <c r="AV81">
        <f>_xlfn.XLOOKUP(AB81,'Order Page'!X$24:X$378,'Order Page'!O$24:O$378,0)</f>
        <v>38</v>
      </c>
      <c r="AW81" s="264"/>
      <c r="AX81">
        <v>60</v>
      </c>
      <c r="AY81" t="e">
        <f t="shared" si="60"/>
        <v>#N/A</v>
      </c>
      <c r="AZ81" t="e">
        <f t="shared" si="61"/>
        <v>#N/A</v>
      </c>
      <c r="BA81" t="e">
        <f t="shared" si="62"/>
        <v>#N/A</v>
      </c>
      <c r="BB81" t="e">
        <f t="shared" si="63"/>
        <v>#N/A</v>
      </c>
      <c r="BC81" t="e">
        <f>IF(AND(BB$18&lt;1,AZ81&lt;=BC$18),IF(BB$18+BB81+SUMIF(BC$21:BC80,BD$18,BB$21:BB80)&lt;=1,BD$18,0))</f>
        <v>#N/A</v>
      </c>
      <c r="BD81" t="e">
        <f t="shared" si="39"/>
        <v>#N/A</v>
      </c>
      <c r="BE81" t="e">
        <f>IF(AND(BB$19&lt;1,AZ81&lt;=BC$19),IF(BB$19+BD81+SUMIF(BE$21:BE80,BD$19,BD$21:BD80)&lt;=1,BD$19,0))</f>
        <v>#N/A</v>
      </c>
      <c r="BF81" t="e">
        <f t="shared" si="40"/>
        <v>#N/A</v>
      </c>
      <c r="BG81">
        <f t="shared" si="36"/>
        <v>0</v>
      </c>
      <c r="BH81">
        <f t="shared" si="37"/>
        <v>0</v>
      </c>
      <c r="BI81">
        <f t="shared" si="43"/>
        <v>0</v>
      </c>
      <c r="BJ81" t="e">
        <f t="shared" si="41"/>
        <v>#N/A</v>
      </c>
      <c r="BK81" t="e">
        <f>IF(BJ81=0,BK80,IF(ROUNDDOWN(SUM(BJ$22:BJ81),0)=ROUNDDOWN(SUM(BJ$22:BJ80),0),BK80+BJ81,ROUNDDOWN(SUM(BJ$22:BJ81),0)+BJ81))</f>
        <v>#N/A</v>
      </c>
      <c r="BL81" t="e">
        <f t="shared" si="44"/>
        <v>#N/A</v>
      </c>
      <c r="BM81" t="e">
        <f t="shared" si="64"/>
        <v>#N/A</v>
      </c>
      <c r="BN81" t="e">
        <f t="shared" si="42"/>
        <v>#N/A</v>
      </c>
    </row>
    <row r="82" spans="1:66" x14ac:dyDescent="0.25">
      <c r="L82">
        <v>79</v>
      </c>
      <c r="M82">
        <f>_xlfn.XLOOKUP(L82,'Order Page'!X$27:X$393,'Order Page'!T$27:T$393,0)</f>
        <v>0</v>
      </c>
      <c r="N82">
        <f>_xlfn.XLOOKUP(L82,'Order Page'!X$27:X$393,'Order Page'!R$27:R$393,0)</f>
        <v>0</v>
      </c>
      <c r="O82" t="str">
        <f t="shared" si="73"/>
        <v/>
      </c>
      <c r="P82" t="str">
        <f t="shared" si="74"/>
        <v/>
      </c>
      <c r="Q82" s="263"/>
      <c r="R82">
        <v>79</v>
      </c>
      <c r="S82">
        <f t="shared" si="85"/>
        <v>1</v>
      </c>
      <c r="T82">
        <f t="shared" si="75"/>
        <v>0</v>
      </c>
      <c r="U82">
        <f>_xlfn.XLOOKUP(T82,'Order Page'!X$27:X$393,'Order Page'!U$27:U$393,"")</f>
        <v>0</v>
      </c>
      <c r="W82" t="str">
        <f t="shared" si="76"/>
        <v/>
      </c>
      <c r="X82" t="str">
        <f t="shared" si="77"/>
        <v/>
      </c>
      <c r="Y82" t="str">
        <f>_xlfn.XLOOKUP(T82,'Order Page'!X$27:X$393,'Order Page'!C$27:C$393,"")</f>
        <v>Acorus Calamus</v>
      </c>
      <c r="Z82" s="264"/>
      <c r="AA82">
        <v>79</v>
      </c>
      <c r="AB82" cm="1">
        <f t="array" ref="AB82">VLOOKUP(ROW(79:79),S$4:T$153,2)</f>
        <v>0</v>
      </c>
      <c r="AD82" t="str">
        <f t="shared" si="78"/>
        <v/>
      </c>
      <c r="AE82" t="e">
        <f t="shared" si="86"/>
        <v>#N/A</v>
      </c>
      <c r="AF82" t="str">
        <f t="shared" si="79"/>
        <v/>
      </c>
      <c r="AG82" t="str">
        <f>_xlfn.XLOOKUP(AB82,'Order Page'!X$27:X$393,'Order Page'!C$27:C$393,"")</f>
        <v>Acorus Calamus</v>
      </c>
      <c r="AH82">
        <f t="shared" si="80"/>
        <v>0</v>
      </c>
      <c r="AI82">
        <f t="shared" si="81"/>
        <v>0</v>
      </c>
      <c r="AJ82">
        <f t="shared" si="92"/>
        <v>0</v>
      </c>
      <c r="AK82">
        <f t="shared" si="87"/>
        <v>0</v>
      </c>
      <c r="AL82">
        <f>IF(OR(AD81&amp;AF81&lt;&gt;AD82&amp;AF82,AK82&lt;AK81),AK81,0)+MAX(AL$4:AL81)</f>
        <v>0</v>
      </c>
      <c r="AM82">
        <f t="shared" si="88"/>
        <v>0</v>
      </c>
      <c r="AO82" s="25" t="str">
        <f t="shared" si="89"/>
        <v/>
      </c>
      <c r="AP82" s="25" t="str">
        <f t="shared" si="82"/>
        <v/>
      </c>
      <c r="AQ82" t="str">
        <f t="shared" si="90"/>
        <v/>
      </c>
      <c r="AR82" t="str">
        <f t="shared" si="83"/>
        <v/>
      </c>
      <c r="AS82">
        <f t="shared" si="84"/>
        <v>0</v>
      </c>
      <c r="AT82">
        <f t="shared" si="91"/>
        <v>0</v>
      </c>
      <c r="AU82" t="str">
        <f>_xlfn.XLOOKUP(AB82,'Order Page'!X$24:X$378,'Order Page'!B$24:B$378,0)</f>
        <v>x6</v>
      </c>
      <c r="AV82">
        <f>_xlfn.XLOOKUP(AB82,'Order Page'!X$24:X$378,'Order Page'!O$24:O$378,0)</f>
        <v>38</v>
      </c>
      <c r="AW82" s="264"/>
      <c r="AX82">
        <v>61</v>
      </c>
      <c r="AY82" t="e">
        <f t="shared" si="60"/>
        <v>#N/A</v>
      </c>
      <c r="AZ82" t="e">
        <f t="shared" si="61"/>
        <v>#N/A</v>
      </c>
      <c r="BA82" t="e">
        <f t="shared" si="62"/>
        <v>#N/A</v>
      </c>
      <c r="BB82" t="e">
        <f t="shared" si="63"/>
        <v>#N/A</v>
      </c>
      <c r="BC82" t="e">
        <f>IF(AND(BB$18&lt;1,AZ82&lt;=BC$18),IF(BB$18+BB82+SUMIF(BC$21:BC81,BD$18,BB$21:BB81)&lt;=1,BD$18,0))</f>
        <v>#N/A</v>
      </c>
      <c r="BD82" t="e">
        <f t="shared" si="39"/>
        <v>#N/A</v>
      </c>
      <c r="BE82" t="e">
        <f>IF(AND(BB$19&lt;1,AZ82&lt;=BC$19),IF(BB$19+BD82+SUMIF(BE$21:BE81,BD$19,BD$21:BD81)&lt;=1,BD$19,0))</f>
        <v>#N/A</v>
      </c>
      <c r="BF82" t="e">
        <f t="shared" si="40"/>
        <v>#N/A</v>
      </c>
      <c r="BG82">
        <f t="shared" si="36"/>
        <v>0</v>
      </c>
      <c r="BH82">
        <f t="shared" si="37"/>
        <v>0</v>
      </c>
      <c r="BI82">
        <f t="shared" si="43"/>
        <v>0</v>
      </c>
      <c r="BJ82" t="e">
        <f t="shared" si="41"/>
        <v>#N/A</v>
      </c>
      <c r="BK82" t="e">
        <f>IF(BJ82=0,BK81,IF(ROUNDDOWN(SUM(BJ$22:BJ82),0)=ROUNDDOWN(SUM(BJ$22:BJ81),0),BK81+BJ82,ROUNDDOWN(SUM(BJ$22:BJ82),0)+BJ82))</f>
        <v>#N/A</v>
      </c>
      <c r="BL82" t="e">
        <f t="shared" si="44"/>
        <v>#N/A</v>
      </c>
      <c r="BM82" t="e">
        <f t="shared" si="64"/>
        <v>#N/A</v>
      </c>
      <c r="BN82" t="e">
        <f t="shared" si="42"/>
        <v>#N/A</v>
      </c>
    </row>
    <row r="83" spans="1:66" x14ac:dyDescent="0.25">
      <c r="B83" t="s">
        <v>685</v>
      </c>
      <c r="C83">
        <v>1</v>
      </c>
      <c r="D83">
        <v>2</v>
      </c>
      <c r="E83">
        <v>3</v>
      </c>
      <c r="F83">
        <v>4</v>
      </c>
      <c r="G83">
        <v>5</v>
      </c>
      <c r="L83">
        <v>80</v>
      </c>
      <c r="M83">
        <f>_xlfn.XLOOKUP(L83,'Order Page'!X$27:X$393,'Order Page'!T$27:T$393,0)</f>
        <v>0</v>
      </c>
      <c r="N83">
        <f>_xlfn.XLOOKUP(L83,'Order Page'!X$27:X$393,'Order Page'!R$27:R$393,0)</f>
        <v>0</v>
      </c>
      <c r="O83" t="str">
        <f t="shared" si="73"/>
        <v/>
      </c>
      <c r="P83" t="str">
        <f t="shared" si="74"/>
        <v/>
      </c>
      <c r="Q83" s="263"/>
      <c r="R83">
        <v>80</v>
      </c>
      <c r="S83">
        <f t="shared" si="85"/>
        <v>1</v>
      </c>
      <c r="T83">
        <f t="shared" si="75"/>
        <v>0</v>
      </c>
      <c r="U83">
        <f>_xlfn.XLOOKUP(T83,'Order Page'!X$27:X$393,'Order Page'!U$27:U$393,"")</f>
        <v>0</v>
      </c>
      <c r="W83" t="str">
        <f t="shared" si="76"/>
        <v/>
      </c>
      <c r="X83" t="str">
        <f t="shared" si="77"/>
        <v/>
      </c>
      <c r="Y83" t="str">
        <f>_xlfn.XLOOKUP(T83,'Order Page'!X$27:X$393,'Order Page'!C$27:C$393,"")</f>
        <v>Acorus Calamus</v>
      </c>
      <c r="Z83" s="264"/>
      <c r="AA83">
        <v>80</v>
      </c>
      <c r="AB83" cm="1">
        <f t="array" ref="AB83">VLOOKUP(ROW(80:80),S$4:T$153,2)</f>
        <v>0</v>
      </c>
      <c r="AD83" t="str">
        <f t="shared" si="78"/>
        <v/>
      </c>
      <c r="AE83" t="e">
        <f t="shared" si="86"/>
        <v>#N/A</v>
      </c>
      <c r="AF83" t="str">
        <f t="shared" si="79"/>
        <v/>
      </c>
      <c r="AG83" t="str">
        <f>_xlfn.XLOOKUP(AB83,'Order Page'!X$27:X$393,'Order Page'!C$27:C$393,"")</f>
        <v>Acorus Calamus</v>
      </c>
      <c r="AH83">
        <f t="shared" si="80"/>
        <v>0</v>
      </c>
      <c r="AI83">
        <f t="shared" si="81"/>
        <v>0</v>
      </c>
      <c r="AJ83">
        <f t="shared" si="92"/>
        <v>0</v>
      </c>
      <c r="AK83">
        <f t="shared" si="87"/>
        <v>0</v>
      </c>
      <c r="AL83">
        <f>IF(OR(AD82&amp;AF82&lt;&gt;AD83&amp;AF83,AK83&lt;AK82),AK82,0)+MAX(AL$4:AL82)</f>
        <v>0</v>
      </c>
      <c r="AM83">
        <f t="shared" si="88"/>
        <v>0</v>
      </c>
      <c r="AO83" s="25" t="str">
        <f t="shared" si="89"/>
        <v/>
      </c>
      <c r="AP83" s="25" t="str">
        <f t="shared" si="82"/>
        <v/>
      </c>
      <c r="AQ83" t="str">
        <f t="shared" si="90"/>
        <v/>
      </c>
      <c r="AR83" t="str">
        <f t="shared" si="83"/>
        <v/>
      </c>
      <c r="AS83">
        <f t="shared" si="84"/>
        <v>0</v>
      </c>
      <c r="AT83">
        <f t="shared" si="91"/>
        <v>0</v>
      </c>
      <c r="AU83" t="str">
        <f>_xlfn.XLOOKUP(AB83,'Order Page'!X$24:X$378,'Order Page'!B$24:B$378,0)</f>
        <v>x6</v>
      </c>
      <c r="AV83">
        <f>_xlfn.XLOOKUP(AB83,'Order Page'!X$24:X$378,'Order Page'!O$24:O$378,0)</f>
        <v>38</v>
      </c>
      <c r="AW83" s="264"/>
      <c r="AX83">
        <v>62</v>
      </c>
      <c r="AY83" t="e">
        <f t="shared" si="60"/>
        <v>#N/A</v>
      </c>
      <c r="AZ83" t="e">
        <f t="shared" si="61"/>
        <v>#N/A</v>
      </c>
      <c r="BA83" t="e">
        <f t="shared" si="62"/>
        <v>#N/A</v>
      </c>
      <c r="BB83" t="e">
        <f t="shared" si="63"/>
        <v>#N/A</v>
      </c>
      <c r="BC83" t="e">
        <f>IF(AND(BB$18&lt;1,AZ83&lt;=BC$18),IF(BB$18+BB83+SUMIF(BC$21:BC82,BD$18,BB$21:BB82)&lt;=1,BD$18,0))</f>
        <v>#N/A</v>
      </c>
      <c r="BD83" t="e">
        <f t="shared" si="39"/>
        <v>#N/A</v>
      </c>
      <c r="BE83" t="e">
        <f>IF(AND(BB$19&lt;1,AZ83&lt;=BC$19),IF(BB$19+BD83+SUMIF(BE$21:BE82,BD$19,BD$21:BD82)&lt;=1,BD$19,0))</f>
        <v>#N/A</v>
      </c>
      <c r="BF83" t="e">
        <f t="shared" si="40"/>
        <v>#N/A</v>
      </c>
      <c r="BG83">
        <f t="shared" si="36"/>
        <v>0</v>
      </c>
      <c r="BH83">
        <f t="shared" si="37"/>
        <v>0</v>
      </c>
      <c r="BI83">
        <f t="shared" si="43"/>
        <v>0</v>
      </c>
      <c r="BJ83" t="e">
        <f t="shared" si="41"/>
        <v>#N/A</v>
      </c>
      <c r="BK83" t="e">
        <f>IF(BJ83=0,BK82,IF(ROUNDDOWN(SUM(BJ$22:BJ83),0)=ROUNDDOWN(SUM(BJ$22:BJ82),0),BK82+BJ83,ROUNDDOWN(SUM(BJ$22:BJ83),0)+BJ83))</f>
        <v>#N/A</v>
      </c>
      <c r="BL83" t="e">
        <f t="shared" si="44"/>
        <v>#N/A</v>
      </c>
      <c r="BM83" t="e">
        <f t="shared" si="64"/>
        <v>#N/A</v>
      </c>
      <c r="BN83" t="e">
        <f t="shared" si="42"/>
        <v>#N/A</v>
      </c>
    </row>
    <row r="84" spans="1:66" x14ac:dyDescent="0.25">
      <c r="B84" t="s">
        <v>683</v>
      </c>
      <c r="C84" t="e">
        <f>_xlfn.XLOOKUP(1,F61:F80,B61:B80)</f>
        <v>#N/A</v>
      </c>
      <c r="D84">
        <f>IF(G52&gt;1,_xlfn.XLOOKUP(2,F61:F80,B61:B80),0)</f>
        <v>0</v>
      </c>
      <c r="E84">
        <f>IF(G52&gt;2,_xlfn.XLOOKUP(3,F61:F80,B61:B80),0)</f>
        <v>0</v>
      </c>
      <c r="F84">
        <f>IF(G52&gt;3,_xlfn.XLOOKUP(4,F61:F80,B61:B80),0)</f>
        <v>0</v>
      </c>
      <c r="G84">
        <f>IF(G52&gt;4,_xlfn.XLOOKUP(5,F61:F80,B61:B80),0)</f>
        <v>0</v>
      </c>
      <c r="L84">
        <v>81</v>
      </c>
      <c r="M84">
        <f>_xlfn.XLOOKUP(L84,'Order Page'!X$27:X$393,'Order Page'!T$27:T$393,0)</f>
        <v>0</v>
      </c>
      <c r="N84">
        <f>_xlfn.XLOOKUP(L84,'Order Page'!X$27:X$393,'Order Page'!R$27:R$393,0)</f>
        <v>0</v>
      </c>
      <c r="O84" t="str">
        <f t="shared" si="73"/>
        <v/>
      </c>
      <c r="P84" t="str">
        <f t="shared" si="74"/>
        <v/>
      </c>
      <c r="Q84" s="263"/>
      <c r="R84">
        <v>81</v>
      </c>
      <c r="S84">
        <f t="shared" si="85"/>
        <v>1</v>
      </c>
      <c r="T84">
        <f t="shared" si="75"/>
        <v>0</v>
      </c>
      <c r="U84">
        <f>_xlfn.XLOOKUP(T84,'Order Page'!X$27:X$393,'Order Page'!U$27:U$393,"")</f>
        <v>0</v>
      </c>
      <c r="W84" t="str">
        <f t="shared" si="76"/>
        <v/>
      </c>
      <c r="X84" t="str">
        <f t="shared" si="77"/>
        <v/>
      </c>
      <c r="Y84" t="str">
        <f>_xlfn.XLOOKUP(T84,'Order Page'!X$27:X$393,'Order Page'!C$27:C$393,"")</f>
        <v>Acorus Calamus</v>
      </c>
      <c r="Z84" s="264"/>
      <c r="AA84">
        <v>81</v>
      </c>
      <c r="AB84" cm="1">
        <f t="array" ref="AB84">VLOOKUP(ROW(81:81),S$4:T$153,2)</f>
        <v>0</v>
      </c>
      <c r="AD84" t="str">
        <f t="shared" si="78"/>
        <v/>
      </c>
      <c r="AE84" t="e">
        <f t="shared" si="86"/>
        <v>#N/A</v>
      </c>
      <c r="AF84" t="str">
        <f t="shared" si="79"/>
        <v/>
      </c>
      <c r="AG84" t="str">
        <f>_xlfn.XLOOKUP(AB84,'Order Page'!X$27:X$393,'Order Page'!C$27:C$393,"")</f>
        <v>Acorus Calamus</v>
      </c>
      <c r="AH84">
        <f t="shared" si="80"/>
        <v>0</v>
      </c>
      <c r="AI84">
        <f t="shared" si="81"/>
        <v>0</v>
      </c>
      <c r="AJ84">
        <f t="shared" si="92"/>
        <v>0</v>
      </c>
      <c r="AK84">
        <f t="shared" si="87"/>
        <v>0</v>
      </c>
      <c r="AL84">
        <f>IF(OR(AD83&amp;AF83&lt;&gt;AD84&amp;AF84,AK84&lt;AK83),AK83,0)+MAX(AL$4:AL83)</f>
        <v>0</v>
      </c>
      <c r="AM84">
        <f t="shared" si="88"/>
        <v>0</v>
      </c>
      <c r="AO84" s="25" t="str">
        <f t="shared" si="89"/>
        <v/>
      </c>
      <c r="AP84" s="25" t="str">
        <f t="shared" si="82"/>
        <v/>
      </c>
      <c r="AQ84" t="str">
        <f t="shared" si="90"/>
        <v/>
      </c>
      <c r="AR84" t="str">
        <f t="shared" si="83"/>
        <v/>
      </c>
      <c r="AS84">
        <f t="shared" si="84"/>
        <v>0</v>
      </c>
      <c r="AT84">
        <f t="shared" si="91"/>
        <v>0</v>
      </c>
      <c r="AU84" t="str">
        <f>_xlfn.XLOOKUP(AB84,'Order Page'!X$24:X$378,'Order Page'!B$24:B$378,0)</f>
        <v>x6</v>
      </c>
      <c r="AV84">
        <f>_xlfn.XLOOKUP(AB84,'Order Page'!X$24:X$378,'Order Page'!O$24:O$378,0)</f>
        <v>38</v>
      </c>
      <c r="AW84" s="264"/>
      <c r="AX84">
        <v>63</v>
      </c>
      <c r="AY84" t="e">
        <f t="shared" si="60"/>
        <v>#N/A</v>
      </c>
      <c r="AZ84" t="e">
        <f t="shared" si="61"/>
        <v>#N/A</v>
      </c>
      <c r="BA84" t="e">
        <f t="shared" si="62"/>
        <v>#N/A</v>
      </c>
      <c r="BB84" t="e">
        <f t="shared" si="63"/>
        <v>#N/A</v>
      </c>
      <c r="BC84" t="e">
        <f>IF(AND(BB$18&lt;1,AZ84&lt;=BC$18),IF(BB$18+BB84+SUMIF(BC$21:BC83,BD$18,BB$21:BB83)&lt;=1,BD$18,0))</f>
        <v>#N/A</v>
      </c>
      <c r="BD84" t="e">
        <f t="shared" si="39"/>
        <v>#N/A</v>
      </c>
      <c r="BE84" t="e">
        <f>IF(AND(BB$19&lt;1,AZ84&lt;=BC$19),IF(BB$19+BD84+SUMIF(BE$21:BE83,BD$19,BD$21:BD83)&lt;=1,BD$19,0))</f>
        <v>#N/A</v>
      </c>
      <c r="BF84" t="e">
        <f t="shared" si="40"/>
        <v>#N/A</v>
      </c>
      <c r="BG84">
        <f t="shared" si="36"/>
        <v>0</v>
      </c>
      <c r="BH84">
        <f t="shared" si="37"/>
        <v>0</v>
      </c>
      <c r="BI84">
        <f t="shared" si="43"/>
        <v>0</v>
      </c>
      <c r="BJ84" t="e">
        <f t="shared" si="41"/>
        <v>#N/A</v>
      </c>
      <c r="BK84" t="e">
        <f>IF(BJ84=0,BK83,IF(ROUNDDOWN(SUM(BJ$22:BJ84),0)=ROUNDDOWN(SUM(BJ$22:BJ83),0),BK83+BJ84,ROUNDDOWN(SUM(BJ$22:BJ84),0)+BJ84))</f>
        <v>#N/A</v>
      </c>
      <c r="BL84" t="e">
        <f t="shared" si="44"/>
        <v>#N/A</v>
      </c>
      <c r="BM84" t="e">
        <f t="shared" si="64"/>
        <v>#N/A</v>
      </c>
      <c r="BN84" t="e">
        <f t="shared" si="42"/>
        <v>#N/A</v>
      </c>
    </row>
    <row r="85" spans="1:66" x14ac:dyDescent="0.25">
      <c r="L85">
        <v>82</v>
      </c>
      <c r="M85">
        <f>_xlfn.XLOOKUP(L85,'Order Page'!X$27:X$393,'Order Page'!T$27:T$393,0)</f>
        <v>0</v>
      </c>
      <c r="N85">
        <f>_xlfn.XLOOKUP(L85,'Order Page'!X$27:X$393,'Order Page'!R$27:R$393,0)</f>
        <v>0</v>
      </c>
      <c r="O85" t="str">
        <f t="shared" si="73"/>
        <v/>
      </c>
      <c r="P85" t="str">
        <f t="shared" si="74"/>
        <v/>
      </c>
      <c r="Q85" s="263"/>
      <c r="R85">
        <v>82</v>
      </c>
      <c r="S85">
        <f t="shared" si="85"/>
        <v>1</v>
      </c>
      <c r="T85">
        <f t="shared" si="75"/>
        <v>0</v>
      </c>
      <c r="U85">
        <f>_xlfn.XLOOKUP(T85,'Order Page'!X$27:X$393,'Order Page'!U$27:U$393,"")</f>
        <v>0</v>
      </c>
      <c r="W85" t="str">
        <f t="shared" si="76"/>
        <v/>
      </c>
      <c r="X85" t="str">
        <f t="shared" si="77"/>
        <v/>
      </c>
      <c r="Y85" t="str">
        <f>_xlfn.XLOOKUP(T85,'Order Page'!X$27:X$393,'Order Page'!C$27:C$393,"")</f>
        <v>Acorus Calamus</v>
      </c>
      <c r="Z85" s="264"/>
      <c r="AA85">
        <v>82</v>
      </c>
      <c r="AB85" cm="1">
        <f t="array" ref="AB85">VLOOKUP(ROW(82:82),S$4:T$153,2)</f>
        <v>0</v>
      </c>
      <c r="AD85" t="str">
        <f t="shared" si="78"/>
        <v/>
      </c>
      <c r="AE85" t="e">
        <f t="shared" si="86"/>
        <v>#N/A</v>
      </c>
      <c r="AF85" t="str">
        <f t="shared" si="79"/>
        <v/>
      </c>
      <c r="AG85" t="str">
        <f>_xlfn.XLOOKUP(AB85,'Order Page'!X$27:X$393,'Order Page'!C$27:C$393,"")</f>
        <v>Acorus Calamus</v>
      </c>
      <c r="AH85">
        <f t="shared" si="80"/>
        <v>0</v>
      </c>
      <c r="AI85">
        <f t="shared" si="81"/>
        <v>0</v>
      </c>
      <c r="AJ85">
        <f t="shared" si="92"/>
        <v>0</v>
      </c>
      <c r="AK85">
        <f t="shared" si="87"/>
        <v>0</v>
      </c>
      <c r="AL85">
        <f>IF(OR(AD84&amp;AF84&lt;&gt;AD85&amp;AF85,AK85&lt;AK84),AK84,0)+MAX(AL$4:AL84)</f>
        <v>0</v>
      </c>
      <c r="AM85">
        <f t="shared" si="88"/>
        <v>0</v>
      </c>
      <c r="AO85" s="25" t="str">
        <f t="shared" si="89"/>
        <v/>
      </c>
      <c r="AP85" s="25" t="str">
        <f t="shared" si="82"/>
        <v/>
      </c>
      <c r="AQ85" t="str">
        <f t="shared" si="90"/>
        <v/>
      </c>
      <c r="AR85" t="str">
        <f t="shared" si="83"/>
        <v/>
      </c>
      <c r="AS85">
        <f t="shared" si="84"/>
        <v>0</v>
      </c>
      <c r="AT85">
        <f t="shared" si="91"/>
        <v>0</v>
      </c>
      <c r="AU85" t="str">
        <f>_xlfn.XLOOKUP(AB85,'Order Page'!X$24:X$378,'Order Page'!B$24:B$378,0)</f>
        <v>x6</v>
      </c>
      <c r="AV85">
        <f>_xlfn.XLOOKUP(AB85,'Order Page'!X$24:X$378,'Order Page'!O$24:O$378,0)</f>
        <v>38</v>
      </c>
      <c r="AW85" s="264"/>
      <c r="AX85">
        <v>64</v>
      </c>
      <c r="AY85" t="e">
        <f t="shared" si="60"/>
        <v>#N/A</v>
      </c>
      <c r="AZ85" t="e">
        <f t="shared" si="61"/>
        <v>#N/A</v>
      </c>
      <c r="BA85" t="e">
        <f t="shared" si="62"/>
        <v>#N/A</v>
      </c>
      <c r="BB85" t="e">
        <f t="shared" si="63"/>
        <v>#N/A</v>
      </c>
      <c r="BC85" t="e">
        <f>IF(AND(BB$18&lt;1,AZ85&lt;=BC$18),IF(BB$18+BB85+SUMIF(BC$21:BC84,BD$18,BB$21:BB84)&lt;=1,BD$18,0))</f>
        <v>#N/A</v>
      </c>
      <c r="BD85" t="e">
        <f t="shared" si="39"/>
        <v>#N/A</v>
      </c>
      <c r="BE85" t="e">
        <f>IF(AND(BB$19&lt;1,AZ85&lt;=BC$19),IF(BB$19+BD85+SUMIF(BE$21:BE84,BD$19,BD$21:BD84)&lt;=1,BD$19,0))</f>
        <v>#N/A</v>
      </c>
      <c r="BF85" t="e">
        <f t="shared" si="40"/>
        <v>#N/A</v>
      </c>
      <c r="BG85">
        <f t="shared" si="36"/>
        <v>0</v>
      </c>
      <c r="BH85">
        <f t="shared" si="37"/>
        <v>0</v>
      </c>
      <c r="BI85">
        <f t="shared" si="43"/>
        <v>0</v>
      </c>
      <c r="BJ85" t="e">
        <f t="shared" si="41"/>
        <v>#N/A</v>
      </c>
      <c r="BK85" t="e">
        <f>IF(BJ85=0,BK84,IF(ROUNDDOWN(SUM(BJ$22:BJ85),0)=ROUNDDOWN(SUM(BJ$22:BJ84),0),BK84+BJ85,ROUNDDOWN(SUM(BJ$22:BJ85),0)+BJ85))</f>
        <v>#N/A</v>
      </c>
      <c r="BL85" t="e">
        <f t="shared" si="44"/>
        <v>#N/A</v>
      </c>
      <c r="BM85" t="e">
        <f t="shared" si="64"/>
        <v>#N/A</v>
      </c>
      <c r="BN85" t="e">
        <f t="shared" si="42"/>
        <v>#N/A</v>
      </c>
    </row>
    <row r="86" spans="1:66" x14ac:dyDescent="0.25">
      <c r="A86" t="s">
        <v>687</v>
      </c>
      <c r="B86">
        <v>1</v>
      </c>
      <c r="C86" t="e">
        <f>_xlfn.XLOOKUP(1,I61:I80,B61:B80)</f>
        <v>#N/A</v>
      </c>
      <c r="D86">
        <f>IF(G52&gt;1,_xlfn.XLOOKUP(2,I61:I80,B61:B80,0),0)</f>
        <v>0</v>
      </c>
      <c r="E86">
        <f>IF(G52&gt;2,_xlfn.XLOOKUP(3,I61:I80,B61:B80),0)</f>
        <v>0</v>
      </c>
      <c r="F86">
        <f>IF(G52&gt;3,_xlfn.XLOOKUP(4,I61:I80,B61:B80),0)</f>
        <v>0</v>
      </c>
      <c r="G86">
        <f>IF(G52&gt;4,_xlfn.XLOOKUP(5,I61:I80,B61:B80),0)</f>
        <v>0</v>
      </c>
      <c r="H86">
        <f>COUNTIF(C86:G86,"&gt;"&amp;0)</f>
        <v>0</v>
      </c>
      <c r="L86">
        <v>83</v>
      </c>
      <c r="M86">
        <f>_xlfn.XLOOKUP(L86,'Order Page'!X$27:X$393,'Order Page'!T$27:T$393,0)</f>
        <v>0</v>
      </c>
      <c r="N86">
        <f>_xlfn.XLOOKUP(L86,'Order Page'!X$27:X$393,'Order Page'!R$27:R$393,0)</f>
        <v>0</v>
      </c>
      <c r="O86" t="str">
        <f t="shared" si="73"/>
        <v/>
      </c>
      <c r="P86" t="str">
        <f t="shared" si="74"/>
        <v/>
      </c>
      <c r="Q86" s="263"/>
      <c r="R86">
        <v>83</v>
      </c>
      <c r="S86">
        <f t="shared" si="85"/>
        <v>1</v>
      </c>
      <c r="T86">
        <f t="shared" si="75"/>
        <v>0</v>
      </c>
      <c r="U86">
        <f>_xlfn.XLOOKUP(T86,'Order Page'!X$27:X$393,'Order Page'!U$27:U$393,"")</f>
        <v>0</v>
      </c>
      <c r="W86" t="str">
        <f t="shared" si="76"/>
        <v/>
      </c>
      <c r="X86" t="str">
        <f t="shared" si="77"/>
        <v/>
      </c>
      <c r="Y86" t="str">
        <f>_xlfn.XLOOKUP(T86,'Order Page'!X$27:X$393,'Order Page'!C$27:C$393,"")</f>
        <v>Acorus Calamus</v>
      </c>
      <c r="Z86" s="264"/>
      <c r="AA86">
        <v>83</v>
      </c>
      <c r="AB86" cm="1">
        <f t="array" ref="AB86">VLOOKUP(ROW(83:83),S$4:T$153,2)</f>
        <v>0</v>
      </c>
      <c r="AD86" t="str">
        <f t="shared" si="78"/>
        <v/>
      </c>
      <c r="AE86" t="e">
        <f t="shared" si="86"/>
        <v>#N/A</v>
      </c>
      <c r="AF86" t="str">
        <f t="shared" si="79"/>
        <v/>
      </c>
      <c r="AG86" t="str">
        <f>_xlfn.XLOOKUP(AB86,'Order Page'!X$27:X$393,'Order Page'!C$27:C$393,"")</f>
        <v>Acorus Calamus</v>
      </c>
      <c r="AH86">
        <f t="shared" si="80"/>
        <v>0</v>
      </c>
      <c r="AI86">
        <f t="shared" si="81"/>
        <v>0</v>
      </c>
      <c r="AJ86">
        <f t="shared" si="92"/>
        <v>0</v>
      </c>
      <c r="AK86">
        <f t="shared" si="87"/>
        <v>0</v>
      </c>
      <c r="AL86">
        <f>IF(OR(AD85&amp;AF85&lt;&gt;AD86&amp;AF86,AK86&lt;AK85),AK85,0)+MAX(AL$4:AL85)</f>
        <v>0</v>
      </c>
      <c r="AM86">
        <f t="shared" si="88"/>
        <v>0</v>
      </c>
      <c r="AO86" s="25" t="str">
        <f t="shared" si="89"/>
        <v/>
      </c>
      <c r="AP86" s="25" t="str">
        <f t="shared" si="82"/>
        <v/>
      </c>
      <c r="AQ86" t="str">
        <f t="shared" si="90"/>
        <v/>
      </c>
      <c r="AR86" t="str">
        <f t="shared" si="83"/>
        <v/>
      </c>
      <c r="AS86">
        <f t="shared" si="84"/>
        <v>0</v>
      </c>
      <c r="AT86">
        <f t="shared" si="91"/>
        <v>0</v>
      </c>
      <c r="AU86" t="str">
        <f>_xlfn.XLOOKUP(AB86,'Order Page'!X$24:X$378,'Order Page'!B$24:B$378,0)</f>
        <v>x6</v>
      </c>
      <c r="AV86">
        <f>_xlfn.XLOOKUP(AB86,'Order Page'!X$24:X$378,'Order Page'!O$24:O$378,0)</f>
        <v>38</v>
      </c>
      <c r="AW86" s="264"/>
      <c r="AX86">
        <v>65</v>
      </c>
      <c r="AY86" t="e">
        <f t="shared" ref="AY86:AY103" si="93">_xlfn.XLOOKUP(AX86,AR$4:AR$203,AB$4:AB$203)</f>
        <v>#N/A</v>
      </c>
      <c r="AZ86" t="e">
        <f t="shared" ref="AZ86:AZ103" si="94">_xlfn.XLOOKUP(AY86,L$4:L$153,N$4:N$153)</f>
        <v>#N/A</v>
      </c>
      <c r="BA86" t="e">
        <f t="shared" ref="BA86:BA103" si="95">_xlfn.XLOOKUP(AY86,L$4:L$153,M$4:M$153)</f>
        <v>#N/A</v>
      </c>
      <c r="BB86" t="e">
        <f t="shared" ref="BB86:BB103" si="96">_xlfn.XLOOKUP(BA86,B$38:B$46,D$38:D$46)</f>
        <v>#N/A</v>
      </c>
      <c r="BC86" t="e">
        <f>IF(AND(BB$18&lt;1,AZ86&lt;=BC$18),IF(BB$18+BB86+SUMIF(BC$21:BC85,BD$18,BB$21:BB85)&lt;=1,BD$18,0))</f>
        <v>#N/A</v>
      </c>
      <c r="BD86" t="e">
        <f t="shared" si="39"/>
        <v>#N/A</v>
      </c>
      <c r="BE86" t="e">
        <f>IF(AND(BB$19&lt;1,AZ86&lt;=BC$19),IF(BB$19+BD86+SUMIF(BE$21:BE85,BD$19,BD$21:BD85)&lt;=1,BD$19,0))</f>
        <v>#N/A</v>
      </c>
      <c r="BF86" t="e">
        <f t="shared" si="40"/>
        <v>#N/A</v>
      </c>
      <c r="BG86">
        <f t="shared" ref="BG86:BG102" si="97">IFERROR(IF(BF86&gt;0,IF(BG87+BF86&lt;=1,BG87+BF86,BG87),BG87),BG87)</f>
        <v>0</v>
      </c>
      <c r="BH86">
        <f t="shared" ref="BH86:BH102" si="98">IFERROR(IF(AND(BF86&gt;0,BG87=BG86),IF(BH87+BF86&lt;=1,BH87+BF86,BH87),BH87),BH87)</f>
        <v>0</v>
      </c>
      <c r="BI86">
        <f t="shared" ref="BI86:BI102" si="99">IF(BG86&lt;&gt;BG87,BD$18,IF(BH86&lt;&gt;BH87,BD$19,0))</f>
        <v>0</v>
      </c>
      <c r="BJ86" t="e">
        <f t="shared" si="41"/>
        <v>#N/A</v>
      </c>
      <c r="BK86" t="e">
        <f>IF(BJ86=0,BK85,IF(ROUNDDOWN(SUM(BJ$22:BJ86),0)=ROUNDDOWN(SUM(BJ$22:BJ85),0),BK85+BJ86,ROUNDDOWN(SUM(BJ$22:BJ86),0)+BJ86))</f>
        <v>#N/A</v>
      </c>
      <c r="BL86" t="e">
        <f t="shared" si="44"/>
        <v>#N/A</v>
      </c>
      <c r="BM86" t="e">
        <f t="shared" ref="BM86:BM103" si="100">_xlfn.XLOOKUP(BA86,B$5:B$33,J$5:J$33)</f>
        <v>#N/A</v>
      </c>
      <c r="BN86" t="e">
        <f t="shared" si="42"/>
        <v>#N/A</v>
      </c>
    </row>
    <row r="87" spans="1:66" x14ac:dyDescent="0.25">
      <c r="B87">
        <v>2</v>
      </c>
      <c r="C87">
        <f>IF(G53&gt;H86,_xlfn.XLOOKUP(H86+1,I61:I80,B61:B80),0)</f>
        <v>0</v>
      </c>
      <c r="D87">
        <f>IF(AND(G53&gt;H86+1,G52&gt;1),_xlfn.XLOOKUP(H86+2,I61:I80,B61:B80),0)</f>
        <v>0</v>
      </c>
      <c r="E87">
        <f>IF(AND(G53&gt;H86+2,G52&gt;2),_xlfn.XLOOKUP(H86+3,I61:I80,B61:B80),0)</f>
        <v>0</v>
      </c>
      <c r="F87">
        <f>IF(AND(G53&gt;H86+3,G52&gt;3),_xlfn.XLOOKUP(H86+4,I61:I80,B61:B80),0)</f>
        <v>0</v>
      </c>
      <c r="G87">
        <f>IF(AND(G53&gt;H86+4,G52&gt;4),_xlfn.XLOOKUP(H86+5,I61:I80,B61:B80),0)</f>
        <v>0</v>
      </c>
      <c r="L87">
        <v>84</v>
      </c>
      <c r="M87">
        <f>_xlfn.XLOOKUP(L87,'Order Page'!X$27:X$393,'Order Page'!T$27:T$393,0)</f>
        <v>0</v>
      </c>
      <c r="N87">
        <f>_xlfn.XLOOKUP(L87,'Order Page'!X$27:X$393,'Order Page'!R$27:R$393,0)</f>
        <v>0</v>
      </c>
      <c r="O87" t="str">
        <f t="shared" si="73"/>
        <v/>
      </c>
      <c r="P87" t="str">
        <f t="shared" si="74"/>
        <v/>
      </c>
      <c r="Q87" s="263"/>
      <c r="R87">
        <v>84</v>
      </c>
      <c r="S87">
        <f t="shared" si="85"/>
        <v>1</v>
      </c>
      <c r="T87">
        <f t="shared" si="75"/>
        <v>0</v>
      </c>
      <c r="U87">
        <f>_xlfn.XLOOKUP(T87,'Order Page'!X$27:X$393,'Order Page'!U$27:U$393,"")</f>
        <v>0</v>
      </c>
      <c r="W87" t="str">
        <f t="shared" si="76"/>
        <v/>
      </c>
      <c r="X87" t="str">
        <f t="shared" si="77"/>
        <v/>
      </c>
      <c r="Y87" t="str">
        <f>_xlfn.XLOOKUP(T87,'Order Page'!X$27:X$393,'Order Page'!C$27:C$393,"")</f>
        <v>Acorus Calamus</v>
      </c>
      <c r="Z87" s="264"/>
      <c r="AA87">
        <v>84</v>
      </c>
      <c r="AB87" cm="1">
        <f t="array" ref="AB87">VLOOKUP(ROW(84:84),S$4:T$153,2)</f>
        <v>0</v>
      </c>
      <c r="AD87" t="str">
        <f t="shared" si="78"/>
        <v/>
      </c>
      <c r="AE87" t="e">
        <f t="shared" si="86"/>
        <v>#N/A</v>
      </c>
      <c r="AF87" t="str">
        <f t="shared" si="79"/>
        <v/>
      </c>
      <c r="AG87" t="str">
        <f>_xlfn.XLOOKUP(AB87,'Order Page'!X$27:X$393,'Order Page'!C$27:C$393,"")</f>
        <v>Acorus Calamus</v>
      </c>
      <c r="AH87">
        <f t="shared" si="80"/>
        <v>0</v>
      </c>
      <c r="AI87">
        <f t="shared" si="81"/>
        <v>0</v>
      </c>
      <c r="AJ87">
        <f t="shared" si="92"/>
        <v>0</v>
      </c>
      <c r="AK87">
        <f t="shared" si="87"/>
        <v>0</v>
      </c>
      <c r="AL87">
        <f>IF(OR(AD86&amp;AF86&lt;&gt;AD87&amp;AF87,AK87&lt;AK86),AK86,0)+MAX(AL$4:AL86)</f>
        <v>0</v>
      </c>
      <c r="AM87">
        <f t="shared" si="88"/>
        <v>0</v>
      </c>
      <c r="AO87" s="25" t="str">
        <f t="shared" si="89"/>
        <v/>
      </c>
      <c r="AP87" s="25" t="str">
        <f t="shared" si="82"/>
        <v/>
      </c>
      <c r="AQ87" t="str">
        <f t="shared" si="90"/>
        <v/>
      </c>
      <c r="AR87" t="str">
        <f t="shared" si="83"/>
        <v/>
      </c>
      <c r="AS87">
        <f t="shared" si="84"/>
        <v>0</v>
      </c>
      <c r="AT87">
        <f t="shared" si="91"/>
        <v>0</v>
      </c>
      <c r="AU87" t="str">
        <f>_xlfn.XLOOKUP(AB87,'Order Page'!X$24:X$378,'Order Page'!B$24:B$378,0)</f>
        <v>x6</v>
      </c>
      <c r="AV87">
        <f>_xlfn.XLOOKUP(AB87,'Order Page'!X$24:X$378,'Order Page'!O$24:O$378,0)</f>
        <v>38</v>
      </c>
      <c r="AW87" s="264"/>
      <c r="AX87">
        <v>66</v>
      </c>
      <c r="AY87" t="e">
        <f t="shared" si="93"/>
        <v>#N/A</v>
      </c>
      <c r="AZ87" t="e">
        <f t="shared" si="94"/>
        <v>#N/A</v>
      </c>
      <c r="BA87" t="e">
        <f t="shared" si="95"/>
        <v>#N/A</v>
      </c>
      <c r="BB87" t="e">
        <f t="shared" si="96"/>
        <v>#N/A</v>
      </c>
      <c r="BC87" t="e">
        <f>IF(AND(BB$18&lt;1,AZ87&lt;=BC$18),IF(BB$18+BB87+SUMIF(BC$21:BC86,BD$18,BB$21:BB86)&lt;=1,BD$18,0))</f>
        <v>#N/A</v>
      </c>
      <c r="BD87" t="e">
        <f t="shared" ref="BD87:BD103" si="101">IF(BC87=0,BB87,0)</f>
        <v>#N/A</v>
      </c>
      <c r="BE87" t="e">
        <f>IF(AND(BB$19&lt;1,AZ87&lt;=BC$19),IF(BB$19+BD87+SUMIF(BE$21:BE86,BD$19,BD$21:BD86)&lt;=1,BD$19,0))</f>
        <v>#N/A</v>
      </c>
      <c r="BF87" t="e">
        <f t="shared" ref="BF87:BF103" si="102">IF(BC87+BE87=0,BB87,0)</f>
        <v>#N/A</v>
      </c>
      <c r="BG87">
        <f t="shared" si="97"/>
        <v>0</v>
      </c>
      <c r="BH87">
        <f t="shared" si="98"/>
        <v>0</v>
      </c>
      <c r="BI87">
        <f t="shared" si="99"/>
        <v>0</v>
      </c>
      <c r="BJ87" t="e">
        <f t="shared" ref="BJ87:BJ103" si="103">IF(BI87&gt;0,0,BF87)</f>
        <v>#N/A</v>
      </c>
      <c r="BK87" t="e">
        <f>IF(BJ87=0,BK86,IF(ROUNDDOWN(SUM(BJ$22:BJ87),0)=ROUNDDOWN(SUM(BJ$22:BJ86),0),BK86+BJ87,ROUNDDOWN(SUM(BJ$22:BJ87),0)+BJ87))</f>
        <v>#N/A</v>
      </c>
      <c r="BL87" t="e">
        <f t="shared" si="44"/>
        <v>#N/A</v>
      </c>
      <c r="BM87" t="e">
        <f t="shared" si="100"/>
        <v>#N/A</v>
      </c>
      <c r="BN87" t="e">
        <f t="shared" ref="BN87:BN103" si="104">BC87+BE87+BI87+BL87</f>
        <v>#N/A</v>
      </c>
    </row>
    <row r="88" spans="1:66" x14ac:dyDescent="0.25">
      <c r="L88">
        <v>85</v>
      </c>
      <c r="M88">
        <f>_xlfn.XLOOKUP(L88,'Order Page'!X$27:X$393,'Order Page'!T$27:T$393,0)</f>
        <v>0</v>
      </c>
      <c r="N88">
        <f>_xlfn.XLOOKUP(L88,'Order Page'!X$27:X$393,'Order Page'!R$27:R$393,0)</f>
        <v>0</v>
      </c>
      <c r="O88" t="str">
        <f t="shared" si="73"/>
        <v/>
      </c>
      <c r="P88" t="str">
        <f t="shared" si="74"/>
        <v/>
      </c>
      <c r="Q88" s="263"/>
      <c r="R88">
        <v>85</v>
      </c>
      <c r="S88">
        <f t="shared" si="85"/>
        <v>1</v>
      </c>
      <c r="T88">
        <f t="shared" si="75"/>
        <v>0</v>
      </c>
      <c r="U88">
        <f>_xlfn.XLOOKUP(T88,'Order Page'!X$27:X$393,'Order Page'!U$27:U$393,"")</f>
        <v>0</v>
      </c>
      <c r="W88" t="str">
        <f t="shared" si="76"/>
        <v/>
      </c>
      <c r="X88" t="str">
        <f t="shared" si="77"/>
        <v/>
      </c>
      <c r="Y88" t="str">
        <f>_xlfn.XLOOKUP(T88,'Order Page'!X$27:X$393,'Order Page'!C$27:C$393,"")</f>
        <v>Acorus Calamus</v>
      </c>
      <c r="Z88" s="264"/>
      <c r="AA88">
        <v>85</v>
      </c>
      <c r="AB88" cm="1">
        <f t="array" ref="AB88">VLOOKUP(ROW(85:85),S$4:T$153,2)</f>
        <v>0</v>
      </c>
      <c r="AD88" t="str">
        <f t="shared" si="78"/>
        <v/>
      </c>
      <c r="AE88" t="e">
        <f t="shared" si="86"/>
        <v>#N/A</v>
      </c>
      <c r="AF88" t="str">
        <f t="shared" si="79"/>
        <v/>
      </c>
      <c r="AG88" t="str">
        <f>_xlfn.XLOOKUP(AB88,'Order Page'!X$27:X$393,'Order Page'!C$27:C$393,"")</f>
        <v>Acorus Calamus</v>
      </c>
      <c r="AH88">
        <f t="shared" si="80"/>
        <v>0</v>
      </c>
      <c r="AI88">
        <f t="shared" si="81"/>
        <v>0</v>
      </c>
      <c r="AJ88">
        <f t="shared" si="92"/>
        <v>0</v>
      </c>
      <c r="AK88">
        <f t="shared" si="87"/>
        <v>0</v>
      </c>
      <c r="AL88">
        <f>IF(OR(AD87&amp;AF87&lt;&gt;AD88&amp;AF88,AK88&lt;AK87),AK87,0)+MAX(AL$4:AL87)</f>
        <v>0</v>
      </c>
      <c r="AM88">
        <f t="shared" si="88"/>
        <v>0</v>
      </c>
      <c r="AO88" s="25" t="str">
        <f t="shared" si="89"/>
        <v/>
      </c>
      <c r="AP88" s="25" t="str">
        <f t="shared" si="82"/>
        <v/>
      </c>
      <c r="AQ88" t="str">
        <f t="shared" si="90"/>
        <v/>
      </c>
      <c r="AR88" t="str">
        <f t="shared" si="83"/>
        <v/>
      </c>
      <c r="AS88">
        <f t="shared" si="84"/>
        <v>0</v>
      </c>
      <c r="AT88">
        <f t="shared" si="91"/>
        <v>0</v>
      </c>
      <c r="AU88" t="str">
        <f>_xlfn.XLOOKUP(AB88,'Order Page'!X$24:X$378,'Order Page'!B$24:B$378,0)</f>
        <v>x6</v>
      </c>
      <c r="AV88">
        <f>_xlfn.XLOOKUP(AB88,'Order Page'!X$24:X$378,'Order Page'!O$24:O$378,0)</f>
        <v>38</v>
      </c>
      <c r="AW88" s="264"/>
      <c r="AX88">
        <v>67</v>
      </c>
      <c r="AY88" t="e">
        <f t="shared" si="93"/>
        <v>#N/A</v>
      </c>
      <c r="AZ88" t="e">
        <f t="shared" si="94"/>
        <v>#N/A</v>
      </c>
      <c r="BA88" t="e">
        <f t="shared" si="95"/>
        <v>#N/A</v>
      </c>
      <c r="BB88" t="e">
        <f t="shared" si="96"/>
        <v>#N/A</v>
      </c>
      <c r="BC88" t="e">
        <f>IF(AND(BB$18&lt;1,AZ88&lt;=BC$18),IF(BB$18+BB88+SUMIF(BC$21:BC87,BD$18,BB$21:BB87)&lt;=1,BD$18,0))</f>
        <v>#N/A</v>
      </c>
      <c r="BD88" t="e">
        <f t="shared" si="101"/>
        <v>#N/A</v>
      </c>
      <c r="BE88" t="e">
        <f>IF(AND(BB$19&lt;1,AZ88&lt;=BC$19),IF(BB$19+BD88+SUMIF(BE$21:BE87,BD$19,BD$21:BD87)&lt;=1,BD$19,0))</f>
        <v>#N/A</v>
      </c>
      <c r="BF88" t="e">
        <f t="shared" si="102"/>
        <v>#N/A</v>
      </c>
      <c r="BG88">
        <f t="shared" si="97"/>
        <v>0</v>
      </c>
      <c r="BH88">
        <f t="shared" si="98"/>
        <v>0</v>
      </c>
      <c r="BI88">
        <f t="shared" si="99"/>
        <v>0</v>
      </c>
      <c r="BJ88" t="e">
        <f t="shared" si="103"/>
        <v>#N/A</v>
      </c>
      <c r="BK88" t="e">
        <f>IF(BJ88=0,BK87,IF(ROUNDDOWN(SUM(BJ$22:BJ88),0)=ROUNDDOWN(SUM(BJ$22:BJ87),0),BK87+BJ88,ROUNDDOWN(SUM(BJ$22:BJ88),0)+BJ88))</f>
        <v>#N/A</v>
      </c>
      <c r="BL88" t="e">
        <f t="shared" ref="BL88:BL103" si="105">IF(BJ88&gt;0,ROUNDDOWN(BK88,0)+BK$20,0)</f>
        <v>#N/A</v>
      </c>
      <c r="BM88" t="e">
        <f t="shared" si="100"/>
        <v>#N/A</v>
      </c>
      <c r="BN88" t="e">
        <f t="shared" si="104"/>
        <v>#N/A</v>
      </c>
    </row>
    <row r="89" spans="1:66" x14ac:dyDescent="0.25">
      <c r="B89" s="21" t="s">
        <v>692</v>
      </c>
      <c r="C89" t="e">
        <f>$G51-IF(C86&gt;0,_xlfn.XLOOKUP(C86,$B61:$B80,$C61:$C80,0),0)-IF(C87&gt;0,_xlfn.XLOOKUP(C87,$B61:$B80,$C61:$C80,0),0)</f>
        <v>#N/A</v>
      </c>
      <c r="D89">
        <f t="shared" ref="D89:G89" si="106">$G51-IF(D86&gt;0,_xlfn.XLOOKUP(D86,$B61:$B80,$C61:$C80,0),0)-IF(D87&gt;0,_xlfn.XLOOKUP(D87,$B61:$B80,$C61:$C80,0),0)</f>
        <v>175</v>
      </c>
      <c r="E89">
        <f t="shared" si="106"/>
        <v>175</v>
      </c>
      <c r="F89">
        <f t="shared" si="106"/>
        <v>175</v>
      </c>
      <c r="G89">
        <f t="shared" si="106"/>
        <v>175</v>
      </c>
      <c r="L89">
        <v>86</v>
      </c>
      <c r="M89">
        <f>_xlfn.XLOOKUP(L89,'Order Page'!X$27:X$393,'Order Page'!T$27:T$393,0)</f>
        <v>0</v>
      </c>
      <c r="N89">
        <f>_xlfn.XLOOKUP(L89,'Order Page'!X$27:X$393,'Order Page'!R$27:R$393,0)</f>
        <v>0</v>
      </c>
      <c r="O89" t="str">
        <f t="shared" si="73"/>
        <v/>
      </c>
      <c r="P89" t="str">
        <f t="shared" si="74"/>
        <v/>
      </c>
      <c r="Q89" s="263"/>
      <c r="R89">
        <v>86</v>
      </c>
      <c r="S89">
        <f t="shared" si="85"/>
        <v>1</v>
      </c>
      <c r="T89">
        <f t="shared" si="75"/>
        <v>0</v>
      </c>
      <c r="U89">
        <f>_xlfn.XLOOKUP(T89,'Order Page'!X$27:X$393,'Order Page'!U$27:U$393,"")</f>
        <v>0</v>
      </c>
      <c r="W89" t="str">
        <f t="shared" si="76"/>
        <v/>
      </c>
      <c r="X89" t="str">
        <f t="shared" si="77"/>
        <v/>
      </c>
      <c r="Y89" t="str">
        <f>_xlfn.XLOOKUP(T89,'Order Page'!X$27:X$393,'Order Page'!C$27:C$393,"")</f>
        <v>Acorus Calamus</v>
      </c>
      <c r="Z89" s="264"/>
      <c r="AA89">
        <v>86</v>
      </c>
      <c r="AB89" cm="1">
        <f t="array" ref="AB89">VLOOKUP(ROW(86:86),S$4:T$153,2)</f>
        <v>0</v>
      </c>
      <c r="AD89" t="str">
        <f t="shared" si="78"/>
        <v/>
      </c>
      <c r="AE89" t="e">
        <f t="shared" si="86"/>
        <v>#N/A</v>
      </c>
      <c r="AF89" t="str">
        <f t="shared" si="79"/>
        <v/>
      </c>
      <c r="AG89" t="str">
        <f>_xlfn.XLOOKUP(AB89,'Order Page'!X$27:X$393,'Order Page'!C$27:C$393,"")</f>
        <v>Acorus Calamus</v>
      </c>
      <c r="AH89">
        <f t="shared" si="80"/>
        <v>0</v>
      </c>
      <c r="AI89">
        <f t="shared" si="81"/>
        <v>0</v>
      </c>
      <c r="AJ89">
        <f t="shared" si="92"/>
        <v>0</v>
      </c>
      <c r="AK89">
        <f t="shared" si="87"/>
        <v>0</v>
      </c>
      <c r="AL89">
        <f>IF(OR(AD88&amp;AF88&lt;&gt;AD89&amp;AF89,AK89&lt;AK88),AK88,0)+MAX(AL$4:AL88)</f>
        <v>0</v>
      </c>
      <c r="AM89">
        <f t="shared" si="88"/>
        <v>0</v>
      </c>
      <c r="AO89" s="25" t="str">
        <f t="shared" si="89"/>
        <v/>
      </c>
      <c r="AP89" s="25" t="str">
        <f t="shared" si="82"/>
        <v/>
      </c>
      <c r="AQ89" t="str">
        <f t="shared" si="90"/>
        <v/>
      </c>
      <c r="AR89" t="str">
        <f t="shared" si="83"/>
        <v/>
      </c>
      <c r="AS89">
        <f t="shared" si="84"/>
        <v>0</v>
      </c>
      <c r="AT89">
        <f t="shared" si="91"/>
        <v>0</v>
      </c>
      <c r="AU89" t="str">
        <f>_xlfn.XLOOKUP(AB89,'Order Page'!X$24:X$378,'Order Page'!B$24:B$378,0)</f>
        <v>x6</v>
      </c>
      <c r="AV89">
        <f>_xlfn.XLOOKUP(AB89,'Order Page'!X$24:X$378,'Order Page'!O$24:O$378,0)</f>
        <v>38</v>
      </c>
      <c r="AW89" s="264"/>
      <c r="AX89">
        <v>68</v>
      </c>
      <c r="AY89" t="e">
        <f t="shared" si="93"/>
        <v>#N/A</v>
      </c>
      <c r="AZ89" t="e">
        <f t="shared" si="94"/>
        <v>#N/A</v>
      </c>
      <c r="BA89" t="e">
        <f t="shared" si="95"/>
        <v>#N/A</v>
      </c>
      <c r="BB89" t="e">
        <f t="shared" si="96"/>
        <v>#N/A</v>
      </c>
      <c r="BC89" t="e">
        <f>IF(AND(BB$18&lt;1,AZ89&lt;=BC$18),IF(BB$18+BB89+SUMIF(BC$21:BC88,BD$18,BB$21:BB88)&lt;=1,BD$18,0))</f>
        <v>#N/A</v>
      </c>
      <c r="BD89" t="e">
        <f t="shared" si="101"/>
        <v>#N/A</v>
      </c>
      <c r="BE89" t="e">
        <f>IF(AND(BB$19&lt;1,AZ89&lt;=BC$19),IF(BB$19+BD89+SUMIF(BE$21:BE88,BD$19,BD$21:BD88)&lt;=1,BD$19,0))</f>
        <v>#N/A</v>
      </c>
      <c r="BF89" t="e">
        <f t="shared" si="102"/>
        <v>#N/A</v>
      </c>
      <c r="BG89">
        <f t="shared" si="97"/>
        <v>0</v>
      </c>
      <c r="BH89">
        <f t="shared" si="98"/>
        <v>0</v>
      </c>
      <c r="BI89">
        <f t="shared" si="99"/>
        <v>0</v>
      </c>
      <c r="BJ89" t="e">
        <f t="shared" si="103"/>
        <v>#N/A</v>
      </c>
      <c r="BK89" t="e">
        <f>IF(BJ89=0,BK88,IF(ROUNDDOWN(SUM(BJ$22:BJ89),0)=ROUNDDOWN(SUM(BJ$22:BJ88),0),BK88+BJ89,ROUNDDOWN(SUM(BJ$22:BJ89),0)+BJ89))</f>
        <v>#N/A</v>
      </c>
      <c r="BL89" t="e">
        <f t="shared" si="105"/>
        <v>#N/A</v>
      </c>
      <c r="BM89" t="e">
        <f t="shared" si="100"/>
        <v>#N/A</v>
      </c>
      <c r="BN89" t="e">
        <f t="shared" si="104"/>
        <v>#N/A</v>
      </c>
    </row>
    <row r="90" spans="1:66" x14ac:dyDescent="0.25">
      <c r="C90">
        <f>MAX(C91:C98)</f>
        <v>0</v>
      </c>
      <c r="L90">
        <v>87</v>
      </c>
      <c r="M90">
        <f>_xlfn.XLOOKUP(L90,'Order Page'!X$27:X$393,'Order Page'!T$27:T$393,0)</f>
        <v>0</v>
      </c>
      <c r="N90">
        <f>_xlfn.XLOOKUP(L90,'Order Page'!X$27:X$393,'Order Page'!R$27:R$393,0)</f>
        <v>0</v>
      </c>
      <c r="O90" t="str">
        <f t="shared" si="73"/>
        <v/>
      </c>
      <c r="P90" t="str">
        <f t="shared" si="74"/>
        <v/>
      </c>
      <c r="Q90" s="263"/>
      <c r="R90">
        <v>87</v>
      </c>
      <c r="S90">
        <f t="shared" si="85"/>
        <v>1</v>
      </c>
      <c r="T90">
        <f t="shared" si="75"/>
        <v>0</v>
      </c>
      <c r="U90">
        <f>_xlfn.XLOOKUP(T90,'Order Page'!X$27:X$393,'Order Page'!U$27:U$393,"")</f>
        <v>0</v>
      </c>
      <c r="W90" t="str">
        <f t="shared" si="76"/>
        <v/>
      </c>
      <c r="X90" t="str">
        <f t="shared" si="77"/>
        <v/>
      </c>
      <c r="Y90" t="str">
        <f>_xlfn.XLOOKUP(T90,'Order Page'!X$27:X$393,'Order Page'!C$27:C$393,"")</f>
        <v>Acorus Calamus</v>
      </c>
      <c r="Z90" s="264"/>
      <c r="AA90">
        <v>87</v>
      </c>
      <c r="AB90" cm="1">
        <f t="array" ref="AB90">VLOOKUP(ROW(87:87),S$4:T$153,2)</f>
        <v>0</v>
      </c>
      <c r="AD90" t="str">
        <f t="shared" si="78"/>
        <v/>
      </c>
      <c r="AE90" t="e">
        <f t="shared" si="86"/>
        <v>#N/A</v>
      </c>
      <c r="AF90" t="str">
        <f t="shared" si="79"/>
        <v/>
      </c>
      <c r="AG90" t="str">
        <f>_xlfn.XLOOKUP(AB90,'Order Page'!X$27:X$393,'Order Page'!C$27:C$393,"")</f>
        <v>Acorus Calamus</v>
      </c>
      <c r="AH90">
        <f t="shared" si="80"/>
        <v>0</v>
      </c>
      <c r="AI90">
        <f t="shared" si="81"/>
        <v>0</v>
      </c>
      <c r="AJ90">
        <f t="shared" si="92"/>
        <v>0</v>
      </c>
      <c r="AK90">
        <f t="shared" si="87"/>
        <v>0</v>
      </c>
      <c r="AL90">
        <f>IF(OR(AD89&amp;AF89&lt;&gt;AD90&amp;AF90,AK90&lt;AK89),AK89,0)+MAX(AL$4:AL89)</f>
        <v>0</v>
      </c>
      <c r="AM90">
        <f t="shared" si="88"/>
        <v>0</v>
      </c>
      <c r="AO90" s="25" t="str">
        <f t="shared" si="89"/>
        <v/>
      </c>
      <c r="AP90" s="25" t="str">
        <f t="shared" si="82"/>
        <v/>
      </c>
      <c r="AQ90" t="str">
        <f t="shared" si="90"/>
        <v/>
      </c>
      <c r="AR90" t="str">
        <f t="shared" si="83"/>
        <v/>
      </c>
      <c r="AS90">
        <f t="shared" si="84"/>
        <v>0</v>
      </c>
      <c r="AT90">
        <f t="shared" si="91"/>
        <v>0</v>
      </c>
      <c r="AU90" t="str">
        <f>_xlfn.XLOOKUP(AB90,'Order Page'!X$24:X$378,'Order Page'!B$24:B$378,0)</f>
        <v>x6</v>
      </c>
      <c r="AV90">
        <f>_xlfn.XLOOKUP(AB90,'Order Page'!X$24:X$378,'Order Page'!O$24:O$378,0)</f>
        <v>38</v>
      </c>
      <c r="AW90" s="264"/>
      <c r="AX90">
        <v>69</v>
      </c>
      <c r="AY90" t="e">
        <f t="shared" si="93"/>
        <v>#N/A</v>
      </c>
      <c r="AZ90" t="e">
        <f t="shared" si="94"/>
        <v>#N/A</v>
      </c>
      <c r="BA90" t="e">
        <f t="shared" si="95"/>
        <v>#N/A</v>
      </c>
      <c r="BB90" t="e">
        <f t="shared" si="96"/>
        <v>#N/A</v>
      </c>
      <c r="BC90" t="e">
        <f>IF(AND(BB$18&lt;1,AZ90&lt;=BC$18),IF(BB$18+BB90+SUMIF(BC$21:BC89,BD$18,BB$21:BB89)&lt;=1,BD$18,0))</f>
        <v>#N/A</v>
      </c>
      <c r="BD90" t="e">
        <f t="shared" si="101"/>
        <v>#N/A</v>
      </c>
      <c r="BE90" t="e">
        <f>IF(AND(BB$19&lt;1,AZ90&lt;=BC$19),IF(BB$19+BD90+SUMIF(BE$21:BE89,BD$19,BD$21:BD89)&lt;=1,BD$19,0))</f>
        <v>#N/A</v>
      </c>
      <c r="BF90" t="e">
        <f t="shared" si="102"/>
        <v>#N/A</v>
      </c>
      <c r="BG90">
        <f t="shared" si="97"/>
        <v>0</v>
      </c>
      <c r="BH90">
        <f t="shared" si="98"/>
        <v>0</v>
      </c>
      <c r="BI90">
        <f t="shared" si="99"/>
        <v>0</v>
      </c>
      <c r="BJ90" t="e">
        <f t="shared" si="103"/>
        <v>#N/A</v>
      </c>
      <c r="BK90" t="e">
        <f>IF(BJ90=0,BK89,IF(ROUNDDOWN(SUM(BJ$22:BJ90),0)=ROUNDDOWN(SUM(BJ$22:BJ89),0),BK89+BJ90,ROUNDDOWN(SUM(BJ$22:BJ90),0)+BJ90))</f>
        <v>#N/A</v>
      </c>
      <c r="BL90" t="e">
        <f t="shared" si="105"/>
        <v>#N/A</v>
      </c>
      <c r="BM90" t="e">
        <f t="shared" si="100"/>
        <v>#N/A</v>
      </c>
      <c r="BN90" t="e">
        <f t="shared" si="104"/>
        <v>#N/A</v>
      </c>
    </row>
    <row r="91" spans="1:66" x14ac:dyDescent="0.25">
      <c r="A91">
        <v>25</v>
      </c>
      <c r="B91">
        <f>COUNTIF(J$61:J$80,A91)</f>
        <v>0</v>
      </c>
      <c r="C91">
        <f>B91</f>
        <v>0</v>
      </c>
      <c r="D91">
        <f>C91</f>
        <v>0</v>
      </c>
      <c r="L91">
        <v>88</v>
      </c>
      <c r="M91">
        <f>_xlfn.XLOOKUP(L91,'Order Page'!X$27:X$393,'Order Page'!T$27:T$393,0)</f>
        <v>0</v>
      </c>
      <c r="N91">
        <f>_xlfn.XLOOKUP(L91,'Order Page'!X$27:X$393,'Order Page'!R$27:R$393,0)</f>
        <v>0</v>
      </c>
      <c r="O91" t="str">
        <f t="shared" si="73"/>
        <v/>
      </c>
      <c r="P91" t="str">
        <f t="shared" si="74"/>
        <v/>
      </c>
      <c r="Q91" s="263"/>
      <c r="R91">
        <v>88</v>
      </c>
      <c r="S91">
        <f t="shared" si="85"/>
        <v>1</v>
      </c>
      <c r="T91">
        <f t="shared" si="75"/>
        <v>0</v>
      </c>
      <c r="U91">
        <f>_xlfn.XLOOKUP(T91,'Order Page'!X$27:X$393,'Order Page'!U$27:U$393,"")</f>
        <v>0</v>
      </c>
      <c r="W91" t="str">
        <f t="shared" si="76"/>
        <v/>
      </c>
      <c r="X91" t="str">
        <f t="shared" si="77"/>
        <v/>
      </c>
      <c r="Y91" t="str">
        <f>_xlfn.XLOOKUP(T91,'Order Page'!X$27:X$393,'Order Page'!C$27:C$393,"")</f>
        <v>Acorus Calamus</v>
      </c>
      <c r="Z91" s="264"/>
      <c r="AA91">
        <v>88</v>
      </c>
      <c r="AB91" cm="1">
        <f t="array" ref="AB91">VLOOKUP(ROW(88:88),S$4:T$153,2)</f>
        <v>0</v>
      </c>
      <c r="AD91" t="str">
        <f t="shared" si="78"/>
        <v/>
      </c>
      <c r="AE91" t="e">
        <f t="shared" si="86"/>
        <v>#N/A</v>
      </c>
      <c r="AF91" t="str">
        <f t="shared" si="79"/>
        <v/>
      </c>
      <c r="AG91" t="str">
        <f>_xlfn.XLOOKUP(AB91,'Order Page'!X$27:X$393,'Order Page'!C$27:C$393,"")</f>
        <v>Acorus Calamus</v>
      </c>
      <c r="AH91">
        <f t="shared" si="80"/>
        <v>0</v>
      </c>
      <c r="AI91">
        <f t="shared" si="81"/>
        <v>0</v>
      </c>
      <c r="AJ91">
        <f t="shared" si="92"/>
        <v>0</v>
      </c>
      <c r="AK91">
        <f t="shared" si="87"/>
        <v>0</v>
      </c>
      <c r="AL91">
        <f>IF(OR(AD90&amp;AF90&lt;&gt;AD91&amp;AF91,AK91&lt;AK90),AK90,0)+MAX(AL$4:AL90)</f>
        <v>0</v>
      </c>
      <c r="AM91">
        <f t="shared" si="88"/>
        <v>0</v>
      </c>
      <c r="AO91" s="25" t="str">
        <f t="shared" si="89"/>
        <v/>
      </c>
      <c r="AP91" s="25" t="str">
        <f t="shared" si="82"/>
        <v/>
      </c>
      <c r="AQ91" t="str">
        <f t="shared" si="90"/>
        <v/>
      </c>
      <c r="AR91" t="str">
        <f t="shared" si="83"/>
        <v/>
      </c>
      <c r="AS91">
        <f t="shared" si="84"/>
        <v>0</v>
      </c>
      <c r="AT91">
        <f t="shared" si="91"/>
        <v>0</v>
      </c>
      <c r="AU91" t="str">
        <f>_xlfn.XLOOKUP(AB91,'Order Page'!X$24:X$378,'Order Page'!B$24:B$378,0)</f>
        <v>x6</v>
      </c>
      <c r="AV91">
        <f>_xlfn.XLOOKUP(AB91,'Order Page'!X$24:X$378,'Order Page'!O$24:O$378,0)</f>
        <v>38</v>
      </c>
      <c r="AW91" s="264"/>
      <c r="AX91">
        <v>70</v>
      </c>
      <c r="AY91" t="e">
        <f t="shared" si="93"/>
        <v>#N/A</v>
      </c>
      <c r="AZ91" t="e">
        <f t="shared" si="94"/>
        <v>#N/A</v>
      </c>
      <c r="BA91" t="e">
        <f t="shared" si="95"/>
        <v>#N/A</v>
      </c>
      <c r="BB91" t="e">
        <f t="shared" si="96"/>
        <v>#N/A</v>
      </c>
      <c r="BC91" t="e">
        <f>IF(AND(BB$18&lt;1,AZ91&lt;=BC$18),IF(BB$18+BB91+SUMIF(BC$21:BC90,BD$18,BB$21:BB90)&lt;=1,BD$18,0))</f>
        <v>#N/A</v>
      </c>
      <c r="BD91" t="e">
        <f t="shared" si="101"/>
        <v>#N/A</v>
      </c>
      <c r="BE91" t="e">
        <f>IF(AND(BB$19&lt;1,AZ91&lt;=BC$19),IF(BB$19+BD91+SUMIF(BE$21:BE90,BD$19,BD$21:BD90)&lt;=1,BD$19,0))</f>
        <v>#N/A</v>
      </c>
      <c r="BF91" t="e">
        <f t="shared" si="102"/>
        <v>#N/A</v>
      </c>
      <c r="BG91">
        <f t="shared" si="97"/>
        <v>0</v>
      </c>
      <c r="BH91">
        <f t="shared" si="98"/>
        <v>0</v>
      </c>
      <c r="BI91">
        <f t="shared" si="99"/>
        <v>0</v>
      </c>
      <c r="BJ91" t="e">
        <f t="shared" si="103"/>
        <v>#N/A</v>
      </c>
      <c r="BK91" t="e">
        <f>IF(BJ91=0,BK90,IF(ROUNDDOWN(SUM(BJ$22:BJ91),0)=ROUNDDOWN(SUM(BJ$22:BJ90),0),BK90+BJ91,ROUNDDOWN(SUM(BJ$22:BJ91),0)+BJ91))</f>
        <v>#N/A</v>
      </c>
      <c r="BL91" t="e">
        <f t="shared" si="105"/>
        <v>#N/A</v>
      </c>
      <c r="BM91" t="e">
        <f t="shared" si="100"/>
        <v>#N/A</v>
      </c>
      <c r="BN91" t="e">
        <f t="shared" si="104"/>
        <v>#N/A</v>
      </c>
    </row>
    <row r="92" spans="1:66" x14ac:dyDescent="0.25">
      <c r="A92">
        <v>30</v>
      </c>
      <c r="B92">
        <f t="shared" ref="B92:B98" si="107">COUNTIF(J$61:J$80,A92)</f>
        <v>0</v>
      </c>
      <c r="C92">
        <f>SUM(B$91:B92)</f>
        <v>0</v>
      </c>
      <c r="D92">
        <f>IF(C92&lt;&gt;C91,C92,0)</f>
        <v>0</v>
      </c>
      <c r="L92">
        <v>89</v>
      </c>
      <c r="M92">
        <f>_xlfn.XLOOKUP(L92,'Order Page'!X$27:X$393,'Order Page'!T$27:T$393,0)</f>
        <v>0</v>
      </c>
      <c r="N92">
        <f>_xlfn.XLOOKUP(L92,'Order Page'!X$27:X$393,'Order Page'!R$27:R$393,0)</f>
        <v>0</v>
      </c>
      <c r="O92" t="str">
        <f t="shared" si="73"/>
        <v/>
      </c>
      <c r="P92" t="str">
        <f t="shared" si="74"/>
        <v/>
      </c>
      <c r="Q92" s="263"/>
      <c r="R92">
        <v>89</v>
      </c>
      <c r="S92">
        <f t="shared" si="85"/>
        <v>1</v>
      </c>
      <c r="T92">
        <f t="shared" si="75"/>
        <v>0</v>
      </c>
      <c r="U92">
        <f>_xlfn.XLOOKUP(T92,'Order Page'!X$27:X$393,'Order Page'!U$27:U$393,"")</f>
        <v>0</v>
      </c>
      <c r="W92" t="str">
        <f t="shared" si="76"/>
        <v/>
      </c>
      <c r="X92" t="str">
        <f t="shared" si="77"/>
        <v/>
      </c>
      <c r="Y92" t="str">
        <f>_xlfn.XLOOKUP(T92,'Order Page'!X$27:X$393,'Order Page'!C$27:C$393,"")</f>
        <v>Acorus Calamus</v>
      </c>
      <c r="Z92" s="264"/>
      <c r="AA92">
        <v>89</v>
      </c>
      <c r="AB92" cm="1">
        <f t="array" ref="AB92">VLOOKUP(ROW(89:89),S$4:T$153,2)</f>
        <v>0</v>
      </c>
      <c r="AD92" t="str">
        <f t="shared" si="78"/>
        <v/>
      </c>
      <c r="AE92" t="e">
        <f t="shared" si="86"/>
        <v>#N/A</v>
      </c>
      <c r="AF92" t="str">
        <f t="shared" si="79"/>
        <v/>
      </c>
      <c r="AG92" t="str">
        <f>_xlfn.XLOOKUP(AB92,'Order Page'!X$27:X$393,'Order Page'!C$27:C$393,"")</f>
        <v>Acorus Calamus</v>
      </c>
      <c r="AH92">
        <f t="shared" si="80"/>
        <v>0</v>
      </c>
      <c r="AI92">
        <f t="shared" si="81"/>
        <v>0</v>
      </c>
      <c r="AJ92">
        <f t="shared" si="92"/>
        <v>0</v>
      </c>
      <c r="AK92">
        <f t="shared" si="87"/>
        <v>0</v>
      </c>
      <c r="AL92">
        <f>IF(OR(AD91&amp;AF91&lt;&gt;AD92&amp;AF92,AK92&lt;AK91),AK91,0)+MAX(AL$4:AL91)</f>
        <v>0</v>
      </c>
      <c r="AM92">
        <f t="shared" si="88"/>
        <v>0</v>
      </c>
      <c r="AO92" s="25" t="str">
        <f t="shared" si="89"/>
        <v/>
      </c>
      <c r="AP92" s="25" t="str">
        <f t="shared" si="82"/>
        <v/>
      </c>
      <c r="AQ92" t="str">
        <f t="shared" si="90"/>
        <v/>
      </c>
      <c r="AR92" t="str">
        <f t="shared" si="83"/>
        <v/>
      </c>
      <c r="AS92">
        <f t="shared" si="84"/>
        <v>0</v>
      </c>
      <c r="AT92">
        <f t="shared" si="91"/>
        <v>0</v>
      </c>
      <c r="AU92" t="str">
        <f>_xlfn.XLOOKUP(AB92,'Order Page'!X$24:X$378,'Order Page'!B$24:B$378,0)</f>
        <v>x6</v>
      </c>
      <c r="AV92">
        <f>_xlfn.XLOOKUP(AB92,'Order Page'!X$24:X$378,'Order Page'!O$24:O$378,0)</f>
        <v>38</v>
      </c>
      <c r="AW92" s="264"/>
      <c r="AX92">
        <v>71</v>
      </c>
      <c r="AY92" t="e">
        <f t="shared" si="93"/>
        <v>#N/A</v>
      </c>
      <c r="AZ92" t="e">
        <f t="shared" si="94"/>
        <v>#N/A</v>
      </c>
      <c r="BA92" t="e">
        <f t="shared" si="95"/>
        <v>#N/A</v>
      </c>
      <c r="BB92" t="e">
        <f t="shared" si="96"/>
        <v>#N/A</v>
      </c>
      <c r="BC92" t="e">
        <f>IF(AND(BB$18&lt;1,AZ92&lt;=BC$18),IF(BB$18+BB92+SUMIF(BC$21:BC91,BD$18,BB$21:BB91)&lt;=1,BD$18,0))</f>
        <v>#N/A</v>
      </c>
      <c r="BD92" t="e">
        <f t="shared" si="101"/>
        <v>#N/A</v>
      </c>
      <c r="BE92" t="e">
        <f>IF(AND(BB$19&lt;1,AZ92&lt;=BC$19),IF(BB$19+BD92+SUMIF(BE$21:BE91,BD$19,BD$21:BD91)&lt;=1,BD$19,0))</f>
        <v>#N/A</v>
      </c>
      <c r="BF92" t="e">
        <f t="shared" si="102"/>
        <v>#N/A</v>
      </c>
      <c r="BG92">
        <f t="shared" si="97"/>
        <v>0</v>
      </c>
      <c r="BH92">
        <f t="shared" si="98"/>
        <v>0</v>
      </c>
      <c r="BI92">
        <f t="shared" si="99"/>
        <v>0</v>
      </c>
      <c r="BJ92" t="e">
        <f t="shared" si="103"/>
        <v>#N/A</v>
      </c>
      <c r="BK92" t="e">
        <f>IF(BJ92=0,BK91,IF(ROUNDDOWN(SUM(BJ$22:BJ92),0)=ROUNDDOWN(SUM(BJ$22:BJ91),0),BK91+BJ92,ROUNDDOWN(SUM(BJ$22:BJ92),0)+BJ92))</f>
        <v>#N/A</v>
      </c>
      <c r="BL92" t="e">
        <f t="shared" si="105"/>
        <v>#N/A</v>
      </c>
      <c r="BM92" t="e">
        <f t="shared" si="100"/>
        <v>#N/A</v>
      </c>
      <c r="BN92" t="e">
        <f t="shared" si="104"/>
        <v>#N/A</v>
      </c>
    </row>
    <row r="93" spans="1:66" x14ac:dyDescent="0.25">
      <c r="A93">
        <v>35</v>
      </c>
      <c r="B93">
        <f>COUNTIF(J$61:J$80,A93)</f>
        <v>0</v>
      </c>
      <c r="C93">
        <f>SUM(B$91:B93)</f>
        <v>0</v>
      </c>
      <c r="D93">
        <f t="shared" ref="D93:D98" si="108">IF(C93&lt;&gt;C92,C93,0)</f>
        <v>0</v>
      </c>
      <c r="L93">
        <v>90</v>
      </c>
      <c r="M93">
        <f>_xlfn.XLOOKUP(L93,'Order Page'!X$27:X$393,'Order Page'!T$27:T$393,0)</f>
        <v>0</v>
      </c>
      <c r="N93">
        <f>_xlfn.XLOOKUP(L93,'Order Page'!X$27:X$393,'Order Page'!R$27:R$393,0)</f>
        <v>0</v>
      </c>
      <c r="O93" t="str">
        <f t="shared" si="73"/>
        <v/>
      </c>
      <c r="P93" t="str">
        <f t="shared" si="74"/>
        <v/>
      </c>
      <c r="Q93" s="263"/>
      <c r="R93">
        <v>90</v>
      </c>
      <c r="S93">
        <f t="shared" si="85"/>
        <v>1</v>
      </c>
      <c r="T93">
        <f t="shared" si="75"/>
        <v>0</v>
      </c>
      <c r="U93">
        <f>_xlfn.XLOOKUP(T93,'Order Page'!X$27:X$393,'Order Page'!U$27:U$393,"")</f>
        <v>0</v>
      </c>
      <c r="W93" t="str">
        <f t="shared" si="76"/>
        <v/>
      </c>
      <c r="X93" t="str">
        <f t="shared" si="77"/>
        <v/>
      </c>
      <c r="Y93" t="str">
        <f>_xlfn.XLOOKUP(T93,'Order Page'!X$27:X$393,'Order Page'!C$27:C$393,"")</f>
        <v>Acorus Calamus</v>
      </c>
      <c r="Z93" s="264"/>
      <c r="AA93">
        <v>90</v>
      </c>
      <c r="AB93" cm="1">
        <f t="array" ref="AB93">VLOOKUP(ROW(90:90),S$4:T$153,2)</f>
        <v>0</v>
      </c>
      <c r="AD93" t="str">
        <f t="shared" si="78"/>
        <v/>
      </c>
      <c r="AE93" t="e">
        <f t="shared" si="86"/>
        <v>#N/A</v>
      </c>
      <c r="AF93" t="str">
        <f t="shared" si="79"/>
        <v/>
      </c>
      <c r="AG93" t="str">
        <f>_xlfn.XLOOKUP(AB93,'Order Page'!X$27:X$393,'Order Page'!C$27:C$393,"")</f>
        <v>Acorus Calamus</v>
      </c>
      <c r="AH93">
        <f t="shared" si="80"/>
        <v>0</v>
      </c>
      <c r="AI93">
        <f t="shared" si="81"/>
        <v>0</v>
      </c>
      <c r="AJ93">
        <f t="shared" si="92"/>
        <v>0</v>
      </c>
      <c r="AK93">
        <f t="shared" si="87"/>
        <v>0</v>
      </c>
      <c r="AL93">
        <f>IF(OR(AD92&amp;AF92&lt;&gt;AD93&amp;AF93,AK93&lt;AK92),AK92,0)+MAX(AL$4:AL92)</f>
        <v>0</v>
      </c>
      <c r="AM93">
        <f t="shared" si="88"/>
        <v>0</v>
      </c>
      <c r="AO93" s="25" t="str">
        <f t="shared" si="89"/>
        <v/>
      </c>
      <c r="AP93" s="25" t="str">
        <f t="shared" si="82"/>
        <v/>
      </c>
      <c r="AQ93" t="str">
        <f t="shared" si="90"/>
        <v/>
      </c>
      <c r="AR93" t="str">
        <f t="shared" si="83"/>
        <v/>
      </c>
      <c r="AS93">
        <f t="shared" si="84"/>
        <v>0</v>
      </c>
      <c r="AT93">
        <f t="shared" si="91"/>
        <v>0</v>
      </c>
      <c r="AU93" t="str">
        <f>_xlfn.XLOOKUP(AB93,'Order Page'!X$24:X$378,'Order Page'!B$24:B$378,0)</f>
        <v>x6</v>
      </c>
      <c r="AV93">
        <f>_xlfn.XLOOKUP(AB93,'Order Page'!X$24:X$378,'Order Page'!O$24:O$378,0)</f>
        <v>38</v>
      </c>
      <c r="AW93" s="264"/>
      <c r="AX93">
        <v>72</v>
      </c>
      <c r="AY93" t="e">
        <f t="shared" si="93"/>
        <v>#N/A</v>
      </c>
      <c r="AZ93" t="e">
        <f t="shared" si="94"/>
        <v>#N/A</v>
      </c>
      <c r="BA93" t="e">
        <f t="shared" si="95"/>
        <v>#N/A</v>
      </c>
      <c r="BB93" t="e">
        <f t="shared" si="96"/>
        <v>#N/A</v>
      </c>
      <c r="BC93" t="e">
        <f>IF(AND(BB$18&lt;1,AZ93&lt;=BC$18),IF(BB$18+BB93+SUMIF(BC$21:BC92,BD$18,BB$21:BB92)&lt;=1,BD$18,0))</f>
        <v>#N/A</v>
      </c>
      <c r="BD93" t="e">
        <f t="shared" si="101"/>
        <v>#N/A</v>
      </c>
      <c r="BE93" t="e">
        <f>IF(AND(BB$19&lt;1,AZ93&lt;=BC$19),IF(BB$19+BD93+SUMIF(BE$21:BE92,BD$19,BD$21:BD92)&lt;=1,BD$19,0))</f>
        <v>#N/A</v>
      </c>
      <c r="BF93" t="e">
        <f t="shared" si="102"/>
        <v>#N/A</v>
      </c>
      <c r="BG93">
        <f t="shared" si="97"/>
        <v>0</v>
      </c>
      <c r="BH93">
        <f t="shared" si="98"/>
        <v>0</v>
      </c>
      <c r="BI93">
        <f t="shared" si="99"/>
        <v>0</v>
      </c>
      <c r="BJ93" t="e">
        <f t="shared" si="103"/>
        <v>#N/A</v>
      </c>
      <c r="BK93" t="e">
        <f>IF(BJ93=0,BK92,IF(ROUNDDOWN(SUM(BJ$22:BJ93),0)=ROUNDDOWN(SUM(BJ$22:BJ92),0),BK92+BJ93,ROUNDDOWN(SUM(BJ$22:BJ93),0)+BJ93))</f>
        <v>#N/A</v>
      </c>
      <c r="BL93" t="e">
        <f t="shared" si="105"/>
        <v>#N/A</v>
      </c>
      <c r="BM93" t="e">
        <f t="shared" si="100"/>
        <v>#N/A</v>
      </c>
      <c r="BN93" t="e">
        <f t="shared" si="104"/>
        <v>#N/A</v>
      </c>
    </row>
    <row r="94" spans="1:66" x14ac:dyDescent="0.25">
      <c r="A94">
        <v>40</v>
      </c>
      <c r="B94">
        <f t="shared" si="107"/>
        <v>0</v>
      </c>
      <c r="C94">
        <f>SUM(B$91:B94)</f>
        <v>0</v>
      </c>
      <c r="D94">
        <f t="shared" si="108"/>
        <v>0</v>
      </c>
      <c r="L94">
        <v>91</v>
      </c>
      <c r="M94">
        <f>_xlfn.XLOOKUP(L94,'Order Page'!X$27:X$393,'Order Page'!T$27:T$393,0)</f>
        <v>0</v>
      </c>
      <c r="N94">
        <f>_xlfn.XLOOKUP(L94,'Order Page'!X$27:X$393,'Order Page'!R$27:R$393,0)</f>
        <v>0</v>
      </c>
      <c r="O94" t="str">
        <f t="shared" si="73"/>
        <v/>
      </c>
      <c r="P94" t="str">
        <f t="shared" si="74"/>
        <v/>
      </c>
      <c r="Q94" s="263"/>
      <c r="R94">
        <v>91</v>
      </c>
      <c r="S94">
        <f t="shared" si="85"/>
        <v>1</v>
      </c>
      <c r="T94">
        <f t="shared" si="75"/>
        <v>0</v>
      </c>
      <c r="U94">
        <f>_xlfn.XLOOKUP(T94,'Order Page'!X$27:X$393,'Order Page'!U$27:U$393,"")</f>
        <v>0</v>
      </c>
      <c r="W94" t="str">
        <f t="shared" si="76"/>
        <v/>
      </c>
      <c r="X94" t="str">
        <f t="shared" si="77"/>
        <v/>
      </c>
      <c r="Y94" t="str">
        <f>_xlfn.XLOOKUP(T94,'Order Page'!X$27:X$393,'Order Page'!C$27:C$393,"")</f>
        <v>Acorus Calamus</v>
      </c>
      <c r="Z94" s="264"/>
      <c r="AA94">
        <v>91</v>
      </c>
      <c r="AB94" cm="1">
        <f t="array" ref="AB94">VLOOKUP(ROW(91:91),S$4:T$153,2)</f>
        <v>0</v>
      </c>
      <c r="AD94" t="str">
        <f t="shared" si="78"/>
        <v/>
      </c>
      <c r="AE94" t="e">
        <f t="shared" si="86"/>
        <v>#N/A</v>
      </c>
      <c r="AF94" t="str">
        <f t="shared" si="79"/>
        <v/>
      </c>
      <c r="AG94" t="str">
        <f>_xlfn.XLOOKUP(AB94,'Order Page'!X$27:X$393,'Order Page'!C$27:C$393,"")</f>
        <v>Acorus Calamus</v>
      </c>
      <c r="AH94">
        <f t="shared" si="80"/>
        <v>0</v>
      </c>
      <c r="AI94">
        <f t="shared" si="81"/>
        <v>0</v>
      </c>
      <c r="AJ94">
        <f t="shared" si="92"/>
        <v>0</v>
      </c>
      <c r="AK94">
        <f t="shared" si="87"/>
        <v>0</v>
      </c>
      <c r="AL94">
        <f>IF(OR(AD93&amp;AF93&lt;&gt;AD94&amp;AF94,AK94&lt;AK93),AK93,0)+MAX(AL$4:AL93)</f>
        <v>0</v>
      </c>
      <c r="AM94">
        <f t="shared" si="88"/>
        <v>0</v>
      </c>
      <c r="AO94" s="25" t="str">
        <f t="shared" si="89"/>
        <v/>
      </c>
      <c r="AP94" s="25" t="str">
        <f t="shared" si="82"/>
        <v/>
      </c>
      <c r="AQ94" t="str">
        <f t="shared" si="90"/>
        <v/>
      </c>
      <c r="AR94" t="str">
        <f t="shared" si="83"/>
        <v/>
      </c>
      <c r="AS94">
        <f t="shared" si="84"/>
        <v>0</v>
      </c>
      <c r="AT94">
        <f t="shared" si="91"/>
        <v>0</v>
      </c>
      <c r="AU94" t="str">
        <f>_xlfn.XLOOKUP(AB94,'Order Page'!X$24:X$378,'Order Page'!B$24:B$378,0)</f>
        <v>x6</v>
      </c>
      <c r="AV94">
        <f>_xlfn.XLOOKUP(AB94,'Order Page'!X$24:X$378,'Order Page'!O$24:O$378,0)</f>
        <v>38</v>
      </c>
      <c r="AW94" s="264"/>
      <c r="AX94">
        <v>73</v>
      </c>
      <c r="AY94" t="e">
        <f t="shared" si="93"/>
        <v>#N/A</v>
      </c>
      <c r="AZ94" t="e">
        <f t="shared" si="94"/>
        <v>#N/A</v>
      </c>
      <c r="BA94" t="e">
        <f t="shared" si="95"/>
        <v>#N/A</v>
      </c>
      <c r="BB94" t="e">
        <f t="shared" si="96"/>
        <v>#N/A</v>
      </c>
      <c r="BC94" t="e">
        <f>IF(AND(BB$18&lt;1,AZ94&lt;=BC$18),IF(BB$18+BB94+SUMIF(BC$21:BC93,BD$18,BB$21:BB93)&lt;=1,BD$18,0))</f>
        <v>#N/A</v>
      </c>
      <c r="BD94" t="e">
        <f t="shared" si="101"/>
        <v>#N/A</v>
      </c>
      <c r="BE94" t="e">
        <f>IF(AND(BB$19&lt;1,AZ94&lt;=BC$19),IF(BB$19+BD94+SUMIF(BE$21:BE93,BD$19,BD$21:BD93)&lt;=1,BD$19,0))</f>
        <v>#N/A</v>
      </c>
      <c r="BF94" t="e">
        <f t="shared" si="102"/>
        <v>#N/A</v>
      </c>
      <c r="BG94">
        <f t="shared" si="97"/>
        <v>0</v>
      </c>
      <c r="BH94">
        <f t="shared" si="98"/>
        <v>0</v>
      </c>
      <c r="BI94">
        <f t="shared" si="99"/>
        <v>0</v>
      </c>
      <c r="BJ94" t="e">
        <f t="shared" si="103"/>
        <v>#N/A</v>
      </c>
      <c r="BK94" t="e">
        <f>IF(BJ94=0,BK93,IF(ROUNDDOWN(SUM(BJ$22:BJ94),0)=ROUNDDOWN(SUM(BJ$22:BJ93),0),BK93+BJ94,ROUNDDOWN(SUM(BJ$22:BJ94),0)+BJ94))</f>
        <v>#N/A</v>
      </c>
      <c r="BL94" t="e">
        <f t="shared" si="105"/>
        <v>#N/A</v>
      </c>
      <c r="BM94" t="e">
        <f t="shared" si="100"/>
        <v>#N/A</v>
      </c>
      <c r="BN94" t="e">
        <f t="shared" si="104"/>
        <v>#N/A</v>
      </c>
    </row>
    <row r="95" spans="1:66" x14ac:dyDescent="0.25">
      <c r="A95">
        <v>45</v>
      </c>
      <c r="B95">
        <f t="shared" si="107"/>
        <v>0</v>
      </c>
      <c r="C95">
        <f>SUM(B$91:B95)</f>
        <v>0</v>
      </c>
      <c r="D95">
        <f t="shared" si="108"/>
        <v>0</v>
      </c>
      <c r="L95">
        <v>92</v>
      </c>
      <c r="M95">
        <f>_xlfn.XLOOKUP(L95,'Order Page'!X$27:X$393,'Order Page'!T$27:T$393,0)</f>
        <v>0</v>
      </c>
      <c r="N95">
        <f>_xlfn.XLOOKUP(L95,'Order Page'!X$27:X$393,'Order Page'!R$27:R$393,0)</f>
        <v>0</v>
      </c>
      <c r="O95" t="str">
        <f t="shared" si="73"/>
        <v/>
      </c>
      <c r="P95" t="str">
        <f t="shared" si="74"/>
        <v/>
      </c>
      <c r="Q95" s="263"/>
      <c r="R95">
        <v>92</v>
      </c>
      <c r="S95">
        <f t="shared" si="85"/>
        <v>1</v>
      </c>
      <c r="T95">
        <f t="shared" si="75"/>
        <v>0</v>
      </c>
      <c r="U95">
        <f>_xlfn.XLOOKUP(T95,'Order Page'!X$27:X$393,'Order Page'!U$27:U$393,"")</f>
        <v>0</v>
      </c>
      <c r="W95" t="str">
        <f t="shared" si="76"/>
        <v/>
      </c>
      <c r="X95" t="str">
        <f t="shared" si="77"/>
        <v/>
      </c>
      <c r="Y95" t="str">
        <f>_xlfn.XLOOKUP(T95,'Order Page'!X$27:X$393,'Order Page'!C$27:C$393,"")</f>
        <v>Acorus Calamus</v>
      </c>
      <c r="Z95" s="264"/>
      <c r="AA95">
        <v>92</v>
      </c>
      <c r="AB95" cm="1">
        <f t="array" ref="AB95">VLOOKUP(ROW(92:92),S$4:T$153,2)</f>
        <v>0</v>
      </c>
      <c r="AD95" t="str">
        <f t="shared" si="78"/>
        <v/>
      </c>
      <c r="AE95" t="e">
        <f t="shared" si="86"/>
        <v>#N/A</v>
      </c>
      <c r="AF95" t="str">
        <f t="shared" si="79"/>
        <v/>
      </c>
      <c r="AG95" t="str">
        <f>_xlfn.XLOOKUP(AB95,'Order Page'!X$27:X$393,'Order Page'!C$27:C$393,"")</f>
        <v>Acorus Calamus</v>
      </c>
      <c r="AH95">
        <f t="shared" si="80"/>
        <v>0</v>
      </c>
      <c r="AI95">
        <f t="shared" si="81"/>
        <v>0</v>
      </c>
      <c r="AJ95">
        <f t="shared" si="92"/>
        <v>0</v>
      </c>
      <c r="AK95">
        <f t="shared" si="87"/>
        <v>0</v>
      </c>
      <c r="AL95">
        <f>IF(OR(AD94&amp;AF94&lt;&gt;AD95&amp;AF95,AK95&lt;AK94),AK94,0)+MAX(AL$4:AL94)</f>
        <v>0</v>
      </c>
      <c r="AM95">
        <f t="shared" si="88"/>
        <v>0</v>
      </c>
      <c r="AO95" s="25" t="str">
        <f t="shared" si="89"/>
        <v/>
      </c>
      <c r="AP95" s="25" t="str">
        <f t="shared" si="82"/>
        <v/>
      </c>
      <c r="AQ95" t="str">
        <f t="shared" si="90"/>
        <v/>
      </c>
      <c r="AR95" t="str">
        <f t="shared" si="83"/>
        <v/>
      </c>
      <c r="AS95">
        <f t="shared" si="84"/>
        <v>0</v>
      </c>
      <c r="AT95">
        <f t="shared" si="91"/>
        <v>0</v>
      </c>
      <c r="AU95" t="str">
        <f>_xlfn.XLOOKUP(AB95,'Order Page'!X$24:X$378,'Order Page'!B$24:B$378,0)</f>
        <v>x6</v>
      </c>
      <c r="AV95">
        <f>_xlfn.XLOOKUP(AB95,'Order Page'!X$24:X$378,'Order Page'!O$24:O$378,0)</f>
        <v>38</v>
      </c>
      <c r="AW95" s="264"/>
      <c r="AX95">
        <v>74</v>
      </c>
      <c r="AY95" t="e">
        <f t="shared" si="93"/>
        <v>#N/A</v>
      </c>
      <c r="AZ95" t="e">
        <f t="shared" si="94"/>
        <v>#N/A</v>
      </c>
      <c r="BA95" t="e">
        <f t="shared" si="95"/>
        <v>#N/A</v>
      </c>
      <c r="BB95" t="e">
        <f t="shared" si="96"/>
        <v>#N/A</v>
      </c>
      <c r="BC95" t="e">
        <f>IF(AND(BB$18&lt;1,AZ95&lt;=BC$18),IF(BB$18+BB95+SUMIF(BC$21:BC94,BD$18,BB$21:BB94)&lt;=1,BD$18,0))</f>
        <v>#N/A</v>
      </c>
      <c r="BD95" t="e">
        <f t="shared" si="101"/>
        <v>#N/A</v>
      </c>
      <c r="BE95" t="e">
        <f>IF(AND(BB$19&lt;1,AZ95&lt;=BC$19),IF(BB$19+BD95+SUMIF(BE$21:BE94,BD$19,BD$21:BD94)&lt;=1,BD$19,0))</f>
        <v>#N/A</v>
      </c>
      <c r="BF95" t="e">
        <f t="shared" si="102"/>
        <v>#N/A</v>
      </c>
      <c r="BG95">
        <f t="shared" si="97"/>
        <v>0</v>
      </c>
      <c r="BH95">
        <f t="shared" si="98"/>
        <v>0</v>
      </c>
      <c r="BI95">
        <f t="shared" si="99"/>
        <v>0</v>
      </c>
      <c r="BJ95" t="e">
        <f t="shared" si="103"/>
        <v>#N/A</v>
      </c>
      <c r="BK95" t="e">
        <f>IF(BJ95=0,BK94,IF(ROUNDDOWN(SUM(BJ$22:BJ95),0)=ROUNDDOWN(SUM(BJ$22:BJ94),0),BK94+BJ95,ROUNDDOWN(SUM(BJ$22:BJ95),0)+BJ95))</f>
        <v>#N/A</v>
      </c>
      <c r="BL95" t="e">
        <f t="shared" si="105"/>
        <v>#N/A</v>
      </c>
      <c r="BM95" t="e">
        <f t="shared" si="100"/>
        <v>#N/A</v>
      </c>
      <c r="BN95" t="e">
        <f t="shared" si="104"/>
        <v>#N/A</v>
      </c>
    </row>
    <row r="96" spans="1:66" x14ac:dyDescent="0.25">
      <c r="A96">
        <v>50</v>
      </c>
      <c r="B96">
        <f t="shared" si="107"/>
        <v>0</v>
      </c>
      <c r="C96">
        <f>SUM(B$91:B96)</f>
        <v>0</v>
      </c>
      <c r="D96">
        <f t="shared" si="108"/>
        <v>0</v>
      </c>
      <c r="L96">
        <v>93</v>
      </c>
      <c r="M96">
        <f>_xlfn.XLOOKUP(L96,'Order Page'!X$27:X$393,'Order Page'!T$27:T$393,0)</f>
        <v>0</v>
      </c>
      <c r="N96">
        <f>_xlfn.XLOOKUP(L96,'Order Page'!X$27:X$393,'Order Page'!R$27:R$393,0)</f>
        <v>0</v>
      </c>
      <c r="O96" t="str">
        <f t="shared" si="73"/>
        <v/>
      </c>
      <c r="P96" t="str">
        <f t="shared" si="74"/>
        <v/>
      </c>
      <c r="Q96" s="263"/>
      <c r="R96">
        <v>93</v>
      </c>
      <c r="S96">
        <f t="shared" si="85"/>
        <v>1</v>
      </c>
      <c r="T96">
        <f t="shared" si="75"/>
        <v>0</v>
      </c>
      <c r="U96">
        <f>_xlfn.XLOOKUP(T96,'Order Page'!X$27:X$393,'Order Page'!U$27:U$393,"")</f>
        <v>0</v>
      </c>
      <c r="W96" t="str">
        <f t="shared" si="76"/>
        <v/>
      </c>
      <c r="X96" t="str">
        <f t="shared" si="77"/>
        <v/>
      </c>
      <c r="Y96" t="str">
        <f>_xlfn.XLOOKUP(T96,'Order Page'!X$27:X$393,'Order Page'!C$27:C$393,"")</f>
        <v>Acorus Calamus</v>
      </c>
      <c r="Z96" s="264"/>
      <c r="AA96">
        <v>93</v>
      </c>
      <c r="AB96" cm="1">
        <f t="array" ref="AB96">VLOOKUP(ROW(93:93),S$4:T$153,2)</f>
        <v>0</v>
      </c>
      <c r="AD96" t="str">
        <f t="shared" si="78"/>
        <v/>
      </c>
      <c r="AE96" t="e">
        <f t="shared" si="86"/>
        <v>#N/A</v>
      </c>
      <c r="AF96" t="str">
        <f t="shared" si="79"/>
        <v/>
      </c>
      <c r="AG96" t="str">
        <f>_xlfn.XLOOKUP(AB96,'Order Page'!X$27:X$393,'Order Page'!C$27:C$393,"")</f>
        <v>Acorus Calamus</v>
      </c>
      <c r="AH96">
        <f t="shared" si="80"/>
        <v>0</v>
      </c>
      <c r="AI96">
        <f t="shared" si="81"/>
        <v>0</v>
      </c>
      <c r="AJ96">
        <f t="shared" si="92"/>
        <v>0</v>
      </c>
      <c r="AK96">
        <f t="shared" si="87"/>
        <v>0</v>
      </c>
      <c r="AL96">
        <f>IF(OR(AD95&amp;AF95&lt;&gt;AD96&amp;AF96,AK96&lt;AK95),AK95,0)+MAX(AL$4:AL95)</f>
        <v>0</v>
      </c>
      <c r="AM96">
        <f t="shared" si="88"/>
        <v>0</v>
      </c>
      <c r="AO96" s="25" t="str">
        <f t="shared" si="89"/>
        <v/>
      </c>
      <c r="AP96" s="25" t="str">
        <f t="shared" si="82"/>
        <v/>
      </c>
      <c r="AQ96" t="str">
        <f t="shared" si="90"/>
        <v/>
      </c>
      <c r="AR96" t="str">
        <f t="shared" si="83"/>
        <v/>
      </c>
      <c r="AS96">
        <f t="shared" si="84"/>
        <v>0</v>
      </c>
      <c r="AT96">
        <f t="shared" si="91"/>
        <v>0</v>
      </c>
      <c r="AU96" t="str">
        <f>_xlfn.XLOOKUP(AB96,'Order Page'!X$24:X$378,'Order Page'!B$24:B$378,0)</f>
        <v>x6</v>
      </c>
      <c r="AV96">
        <f>_xlfn.XLOOKUP(AB96,'Order Page'!X$24:X$378,'Order Page'!O$24:O$378,0)</f>
        <v>38</v>
      </c>
      <c r="AW96" s="264"/>
      <c r="AX96">
        <v>75</v>
      </c>
      <c r="AY96" t="e">
        <f t="shared" si="93"/>
        <v>#N/A</v>
      </c>
      <c r="AZ96" t="e">
        <f t="shared" si="94"/>
        <v>#N/A</v>
      </c>
      <c r="BA96" t="e">
        <f t="shared" si="95"/>
        <v>#N/A</v>
      </c>
      <c r="BB96" t="e">
        <f t="shared" si="96"/>
        <v>#N/A</v>
      </c>
      <c r="BC96" t="e">
        <f>IF(AND(BB$18&lt;1,AZ96&lt;=BC$18),IF(BB$18+BB96+SUMIF(BC$21:BC95,BD$18,BB$21:BB95)&lt;=1,BD$18,0))</f>
        <v>#N/A</v>
      </c>
      <c r="BD96" t="e">
        <f t="shared" si="101"/>
        <v>#N/A</v>
      </c>
      <c r="BE96" t="e">
        <f>IF(AND(BB$19&lt;1,AZ96&lt;=BC$19),IF(BB$19+BD96+SUMIF(BE$21:BE95,BD$19,BD$21:BD95)&lt;=1,BD$19,0))</f>
        <v>#N/A</v>
      </c>
      <c r="BF96" t="e">
        <f t="shared" si="102"/>
        <v>#N/A</v>
      </c>
      <c r="BG96">
        <f t="shared" si="97"/>
        <v>0</v>
      </c>
      <c r="BH96">
        <f t="shared" si="98"/>
        <v>0</v>
      </c>
      <c r="BI96">
        <f t="shared" si="99"/>
        <v>0</v>
      </c>
      <c r="BJ96" t="e">
        <f t="shared" si="103"/>
        <v>#N/A</v>
      </c>
      <c r="BK96" t="e">
        <f>IF(BJ96=0,BK95,IF(ROUNDDOWN(SUM(BJ$22:BJ96),0)=ROUNDDOWN(SUM(BJ$22:BJ95),0),BK95+BJ96,ROUNDDOWN(SUM(BJ$22:BJ96),0)+BJ96))</f>
        <v>#N/A</v>
      </c>
      <c r="BL96" t="e">
        <f t="shared" si="105"/>
        <v>#N/A</v>
      </c>
      <c r="BM96" t="e">
        <f t="shared" si="100"/>
        <v>#N/A</v>
      </c>
      <c r="BN96" t="e">
        <f t="shared" si="104"/>
        <v>#N/A</v>
      </c>
    </row>
    <row r="97" spans="1:66" x14ac:dyDescent="0.25">
      <c r="A97">
        <v>55</v>
      </c>
      <c r="B97">
        <f t="shared" si="107"/>
        <v>0</v>
      </c>
      <c r="C97">
        <f>SUM(B$91:B97)</f>
        <v>0</v>
      </c>
      <c r="D97">
        <f t="shared" si="108"/>
        <v>0</v>
      </c>
      <c r="L97">
        <v>94</v>
      </c>
      <c r="M97">
        <f>_xlfn.XLOOKUP(L97,'Order Page'!X$27:X$393,'Order Page'!T$27:T$393,0)</f>
        <v>0</v>
      </c>
      <c r="N97">
        <f>_xlfn.XLOOKUP(L97,'Order Page'!X$27:X$393,'Order Page'!R$27:R$393,0)</f>
        <v>0</v>
      </c>
      <c r="O97" t="str">
        <f t="shared" si="73"/>
        <v/>
      </c>
      <c r="P97" t="str">
        <f t="shared" si="74"/>
        <v/>
      </c>
      <c r="Q97" s="263"/>
      <c r="R97">
        <v>94</v>
      </c>
      <c r="S97">
        <f t="shared" si="85"/>
        <v>1</v>
      </c>
      <c r="T97">
        <f t="shared" si="75"/>
        <v>0</v>
      </c>
      <c r="U97">
        <f>_xlfn.XLOOKUP(T97,'Order Page'!X$27:X$393,'Order Page'!U$27:U$393,"")</f>
        <v>0</v>
      </c>
      <c r="W97" t="str">
        <f t="shared" si="76"/>
        <v/>
      </c>
      <c r="X97" t="str">
        <f t="shared" si="77"/>
        <v/>
      </c>
      <c r="Y97" t="str">
        <f>_xlfn.XLOOKUP(T97,'Order Page'!X$27:X$393,'Order Page'!C$27:C$393,"")</f>
        <v>Acorus Calamus</v>
      </c>
      <c r="Z97" s="264"/>
      <c r="AA97">
        <v>94</v>
      </c>
      <c r="AB97" cm="1">
        <f t="array" ref="AB97">VLOOKUP(ROW(94:94),S$4:T$153,2)</f>
        <v>0</v>
      </c>
      <c r="AD97" t="str">
        <f t="shared" si="78"/>
        <v/>
      </c>
      <c r="AE97" t="e">
        <f t="shared" si="86"/>
        <v>#N/A</v>
      </c>
      <c r="AF97" t="str">
        <f t="shared" si="79"/>
        <v/>
      </c>
      <c r="AG97" t="str">
        <f>_xlfn.XLOOKUP(AB97,'Order Page'!X$27:X$393,'Order Page'!C$27:C$393,"")</f>
        <v>Acorus Calamus</v>
      </c>
      <c r="AH97">
        <f t="shared" si="80"/>
        <v>0</v>
      </c>
      <c r="AI97">
        <f t="shared" si="81"/>
        <v>0</v>
      </c>
      <c r="AJ97">
        <f t="shared" si="92"/>
        <v>0</v>
      </c>
      <c r="AK97">
        <f t="shared" si="87"/>
        <v>0</v>
      </c>
      <c r="AL97">
        <f>IF(OR(AD96&amp;AF96&lt;&gt;AD97&amp;AF97,AK97&lt;AK96),AK96,0)+MAX(AL$4:AL96)</f>
        <v>0</v>
      </c>
      <c r="AM97">
        <f t="shared" si="88"/>
        <v>0</v>
      </c>
      <c r="AO97" s="25" t="str">
        <f t="shared" si="89"/>
        <v/>
      </c>
      <c r="AP97" s="25" t="str">
        <f t="shared" si="82"/>
        <v/>
      </c>
      <c r="AQ97" t="str">
        <f t="shared" si="90"/>
        <v/>
      </c>
      <c r="AR97" t="str">
        <f t="shared" si="83"/>
        <v/>
      </c>
      <c r="AS97">
        <f t="shared" si="84"/>
        <v>0</v>
      </c>
      <c r="AT97">
        <f t="shared" si="91"/>
        <v>0</v>
      </c>
      <c r="AU97" t="str">
        <f>_xlfn.XLOOKUP(AB97,'Order Page'!X$24:X$378,'Order Page'!B$24:B$378,0)</f>
        <v>x6</v>
      </c>
      <c r="AV97">
        <f>_xlfn.XLOOKUP(AB97,'Order Page'!X$24:X$378,'Order Page'!O$24:O$378,0)</f>
        <v>38</v>
      </c>
      <c r="AW97" s="264"/>
      <c r="AX97">
        <v>76</v>
      </c>
      <c r="AY97" t="e">
        <f t="shared" si="93"/>
        <v>#N/A</v>
      </c>
      <c r="AZ97" t="e">
        <f t="shared" si="94"/>
        <v>#N/A</v>
      </c>
      <c r="BA97" t="e">
        <f t="shared" si="95"/>
        <v>#N/A</v>
      </c>
      <c r="BB97" t="e">
        <f t="shared" si="96"/>
        <v>#N/A</v>
      </c>
      <c r="BC97" t="e">
        <f>IF(AND(BB$18&lt;1,AZ97&lt;=BC$18),IF(BB$18+BB97+SUMIF(BC$21:BC96,BD$18,BB$21:BB96)&lt;=1,BD$18,0))</f>
        <v>#N/A</v>
      </c>
      <c r="BD97" t="e">
        <f t="shared" si="101"/>
        <v>#N/A</v>
      </c>
      <c r="BE97" t="e">
        <f>IF(AND(BB$19&lt;1,AZ97&lt;=BC$19),IF(BB$19+BD97+SUMIF(BE$21:BE96,BD$19,BD$21:BD96)&lt;=1,BD$19,0))</f>
        <v>#N/A</v>
      </c>
      <c r="BF97" t="e">
        <f t="shared" si="102"/>
        <v>#N/A</v>
      </c>
      <c r="BG97">
        <f t="shared" si="97"/>
        <v>0</v>
      </c>
      <c r="BH97">
        <f t="shared" si="98"/>
        <v>0</v>
      </c>
      <c r="BI97">
        <f t="shared" si="99"/>
        <v>0</v>
      </c>
      <c r="BJ97" t="e">
        <f t="shared" si="103"/>
        <v>#N/A</v>
      </c>
      <c r="BK97" t="e">
        <f>IF(BJ97=0,BK96,IF(ROUNDDOWN(SUM(BJ$22:BJ97),0)=ROUNDDOWN(SUM(BJ$22:BJ96),0),BK96+BJ97,ROUNDDOWN(SUM(BJ$22:BJ97),0)+BJ97))</f>
        <v>#N/A</v>
      </c>
      <c r="BL97" t="e">
        <f t="shared" si="105"/>
        <v>#N/A</v>
      </c>
      <c r="BM97" t="e">
        <f t="shared" si="100"/>
        <v>#N/A</v>
      </c>
      <c r="BN97" t="e">
        <f t="shared" si="104"/>
        <v>#N/A</v>
      </c>
    </row>
    <row r="98" spans="1:66" x14ac:dyDescent="0.25">
      <c r="A98">
        <v>60</v>
      </c>
      <c r="B98">
        <f t="shared" si="107"/>
        <v>0</v>
      </c>
      <c r="C98">
        <f>SUM(B$91:B98)</f>
        <v>0</v>
      </c>
      <c r="D98">
        <f t="shared" si="108"/>
        <v>0</v>
      </c>
      <c r="L98">
        <v>95</v>
      </c>
      <c r="M98">
        <f>_xlfn.XLOOKUP(L98,'Order Page'!X$27:X$393,'Order Page'!T$27:T$393,0)</f>
        <v>0</v>
      </c>
      <c r="N98">
        <f>_xlfn.XLOOKUP(L98,'Order Page'!X$27:X$393,'Order Page'!R$27:R$393,0)</f>
        <v>0</v>
      </c>
      <c r="O98" t="str">
        <f t="shared" si="73"/>
        <v/>
      </c>
      <c r="P98" t="str">
        <f t="shared" si="74"/>
        <v/>
      </c>
      <c r="Q98" s="263"/>
      <c r="R98">
        <v>95</v>
      </c>
      <c r="S98">
        <f t="shared" si="85"/>
        <v>1</v>
      </c>
      <c r="T98">
        <f t="shared" si="75"/>
        <v>0</v>
      </c>
      <c r="U98">
        <f>_xlfn.XLOOKUP(T98,'Order Page'!X$27:X$393,'Order Page'!U$27:U$393,"")</f>
        <v>0</v>
      </c>
      <c r="W98" t="str">
        <f t="shared" si="76"/>
        <v/>
      </c>
      <c r="X98" t="str">
        <f t="shared" si="77"/>
        <v/>
      </c>
      <c r="Y98" t="str">
        <f>_xlfn.XLOOKUP(T98,'Order Page'!X$27:X$393,'Order Page'!C$27:C$393,"")</f>
        <v>Acorus Calamus</v>
      </c>
      <c r="Z98" s="264"/>
      <c r="AA98">
        <v>95</v>
      </c>
      <c r="AB98" cm="1">
        <f t="array" ref="AB98">VLOOKUP(ROW(95:95),S$4:T$153,2)</f>
        <v>0</v>
      </c>
      <c r="AD98" t="str">
        <f t="shared" si="78"/>
        <v/>
      </c>
      <c r="AE98" t="e">
        <f t="shared" si="86"/>
        <v>#N/A</v>
      </c>
      <c r="AF98" t="str">
        <f t="shared" si="79"/>
        <v/>
      </c>
      <c r="AG98" t="str">
        <f>_xlfn.XLOOKUP(AB98,'Order Page'!X$27:X$393,'Order Page'!C$27:C$393,"")</f>
        <v>Acorus Calamus</v>
      </c>
      <c r="AH98">
        <f t="shared" si="80"/>
        <v>0</v>
      </c>
      <c r="AI98">
        <f t="shared" si="81"/>
        <v>0</v>
      </c>
      <c r="AJ98">
        <f>IF(AND(AD98&amp;AF98=AD97&amp;AF97,AH98&gt;0),AJ97+AI98,IF(AH98&gt;0,AI98,0))</f>
        <v>0</v>
      </c>
      <c r="AK98">
        <f t="shared" si="87"/>
        <v>0</v>
      </c>
      <c r="AL98">
        <f>IF(OR(AD97&amp;AF97&lt;&gt;AD98&amp;AF98,AK98&lt;AK97),AK97,0)+MAX(AL$4:AL97)</f>
        <v>0</v>
      </c>
      <c r="AM98">
        <f>IF(AK98&gt;0,AK98+AL98,0)</f>
        <v>0</v>
      </c>
      <c r="AO98" s="25" t="str">
        <f t="shared" si="89"/>
        <v/>
      </c>
      <c r="AP98" s="25" t="str">
        <f t="shared" si="82"/>
        <v/>
      </c>
      <c r="AQ98" t="str">
        <f t="shared" si="90"/>
        <v/>
      </c>
      <c r="AR98" t="str">
        <f t="shared" si="83"/>
        <v/>
      </c>
      <c r="AS98">
        <f t="shared" si="84"/>
        <v>0</v>
      </c>
      <c r="AT98">
        <f t="shared" si="91"/>
        <v>0</v>
      </c>
      <c r="AU98" t="str">
        <f>_xlfn.XLOOKUP(AB98,'Order Page'!X$24:X$378,'Order Page'!B$24:B$378,0)</f>
        <v>x6</v>
      </c>
      <c r="AV98">
        <f>_xlfn.XLOOKUP(AB98,'Order Page'!X$24:X$378,'Order Page'!O$24:O$378,0)</f>
        <v>38</v>
      </c>
      <c r="AW98" s="264"/>
      <c r="AX98">
        <v>77</v>
      </c>
      <c r="AY98" t="e">
        <f t="shared" si="93"/>
        <v>#N/A</v>
      </c>
      <c r="AZ98" t="e">
        <f t="shared" si="94"/>
        <v>#N/A</v>
      </c>
      <c r="BA98" t="e">
        <f t="shared" si="95"/>
        <v>#N/A</v>
      </c>
      <c r="BB98" t="e">
        <f t="shared" si="96"/>
        <v>#N/A</v>
      </c>
      <c r="BC98" t="e">
        <f>IF(AND(BB$18&lt;1,AZ98&lt;=BC$18),IF(BB$18+BB98+SUMIF(BC$21:BC97,BD$18,BB$21:BB97)&lt;=1,BD$18,0))</f>
        <v>#N/A</v>
      </c>
      <c r="BD98" t="e">
        <f t="shared" si="101"/>
        <v>#N/A</v>
      </c>
      <c r="BE98" t="e">
        <f>IF(AND(BB$19&lt;1,AZ98&lt;=BC$19),IF(BB$19+BD98+SUMIF(BE$21:BE97,BD$19,BD$21:BD97)&lt;=1,BD$19,0))</f>
        <v>#N/A</v>
      </c>
      <c r="BF98" t="e">
        <f t="shared" si="102"/>
        <v>#N/A</v>
      </c>
      <c r="BG98">
        <f>IFERROR(IF(BF98&gt;0,IF(BG99+BF98&lt;=1,BG99+BF98,BG99),BG99),BG99)</f>
        <v>0</v>
      </c>
      <c r="BH98">
        <f>IFERROR(IF(AND(BF98&gt;0,BG99=BG98),IF(BH99+BF98&lt;=1,BH99+BF98,BH99),BH99),BH99)</f>
        <v>0</v>
      </c>
      <c r="BI98">
        <f>IF(BG98&lt;&gt;BG99,BD$18,IF(BH98&lt;&gt;BH99,BD$19,0))</f>
        <v>0</v>
      </c>
      <c r="BJ98" t="e">
        <f t="shared" si="103"/>
        <v>#N/A</v>
      </c>
      <c r="BK98" t="e">
        <f>IF(BJ98=0,BK97,IF(ROUNDDOWN(SUM(BJ$22:BJ98),0)=ROUNDDOWN(SUM(BJ$22:BJ97),0),BK97+BJ98,ROUNDDOWN(SUM(BJ$22:BJ98),0)+BJ98))</f>
        <v>#N/A</v>
      </c>
      <c r="BL98" t="e">
        <f t="shared" si="105"/>
        <v>#N/A</v>
      </c>
      <c r="BM98" t="e">
        <f t="shared" si="100"/>
        <v>#N/A</v>
      </c>
      <c r="BN98" t="e">
        <f t="shared" si="104"/>
        <v>#N/A</v>
      </c>
    </row>
    <row r="99" spans="1:66" x14ac:dyDescent="0.25">
      <c r="A99" t="s">
        <v>696</v>
      </c>
      <c r="C99" t="s">
        <v>697</v>
      </c>
      <c r="D99" t="s">
        <v>698</v>
      </c>
      <c r="E99" t="s">
        <v>699</v>
      </c>
      <c r="F99" t="s">
        <v>696</v>
      </c>
      <c r="G99" t="s">
        <v>700</v>
      </c>
      <c r="H99" t="s">
        <v>611</v>
      </c>
      <c r="J99" t="s">
        <v>699</v>
      </c>
      <c r="L99">
        <v>96</v>
      </c>
      <c r="M99">
        <f>_xlfn.XLOOKUP(L99,'Order Page'!X$27:X$393,'Order Page'!T$27:T$393,0)</f>
        <v>0</v>
      </c>
      <c r="N99">
        <f>_xlfn.XLOOKUP(L99,'Order Page'!X$27:X$393,'Order Page'!R$27:R$393,0)</f>
        <v>0</v>
      </c>
      <c r="O99" t="str">
        <f t="shared" si="73"/>
        <v/>
      </c>
      <c r="P99" t="str">
        <f t="shared" si="74"/>
        <v/>
      </c>
      <c r="Q99" s="263"/>
      <c r="R99">
        <v>96</v>
      </c>
      <c r="S99">
        <f>S98+U98</f>
        <v>1</v>
      </c>
      <c r="T99">
        <f t="shared" si="75"/>
        <v>0</v>
      </c>
      <c r="U99">
        <f>_xlfn.XLOOKUP(T99,'Order Page'!X$27:X$393,'Order Page'!U$27:U$393,"")</f>
        <v>0</v>
      </c>
      <c r="W99" t="str">
        <f t="shared" si="76"/>
        <v/>
      </c>
      <c r="X99" t="str">
        <f t="shared" si="77"/>
        <v/>
      </c>
      <c r="Y99" t="str">
        <f>_xlfn.XLOOKUP(T99,'Order Page'!X$27:X$393,'Order Page'!C$27:C$393,"")</f>
        <v>Acorus Calamus</v>
      </c>
      <c r="Z99" s="264"/>
      <c r="AA99">
        <v>96</v>
      </c>
      <c r="AB99" cm="1">
        <f t="array" ref="AB99">VLOOKUP(ROW(96:96),S$4:T$153,2)</f>
        <v>0</v>
      </c>
      <c r="AD99" t="str">
        <f t="shared" si="78"/>
        <v/>
      </c>
      <c r="AE99" t="e">
        <f t="shared" si="86"/>
        <v>#N/A</v>
      </c>
      <c r="AF99" t="str">
        <f t="shared" si="79"/>
        <v/>
      </c>
      <c r="AG99" t="str">
        <f>_xlfn.XLOOKUP(AB99,'Order Page'!X$27:X$393,'Order Page'!C$27:C$393,"")</f>
        <v>Acorus Calamus</v>
      </c>
      <c r="AH99">
        <f t="shared" si="80"/>
        <v>0</v>
      </c>
      <c r="AI99">
        <f t="shared" si="81"/>
        <v>0</v>
      </c>
      <c r="AJ99">
        <f>IF(AND(AD99&amp;AF99=AD98&amp;AF98,AH99&gt;0),AJ98+AI99,IF(AH99&gt;0,AI99,0))</f>
        <v>0</v>
      </c>
      <c r="AK99">
        <f t="shared" si="87"/>
        <v>0</v>
      </c>
      <c r="AL99">
        <f>IF(OR(AD98&amp;AF98&lt;&gt;AD99&amp;AF99,AK99&lt;AK98),AK98,0)+MAX(AL$4:AL98)</f>
        <v>0</v>
      </c>
      <c r="AM99">
        <f t="shared" si="88"/>
        <v>0</v>
      </c>
      <c r="AO99" s="25" t="str">
        <f t="shared" si="89"/>
        <v/>
      </c>
      <c r="AP99" s="25" t="str">
        <f t="shared" si="82"/>
        <v/>
      </c>
      <c r="AQ99" t="str">
        <f t="shared" si="90"/>
        <v/>
      </c>
      <c r="AR99" t="str">
        <f t="shared" si="83"/>
        <v/>
      </c>
      <c r="AS99">
        <f t="shared" si="84"/>
        <v>0</v>
      </c>
      <c r="AT99">
        <f t="shared" si="91"/>
        <v>0</v>
      </c>
      <c r="AU99" t="str">
        <f>_xlfn.XLOOKUP(AB99,'Order Page'!X$24:X$378,'Order Page'!B$24:B$378,0)</f>
        <v>x6</v>
      </c>
      <c r="AV99">
        <f>_xlfn.XLOOKUP(AB99,'Order Page'!X$24:X$378,'Order Page'!O$24:O$378,0)</f>
        <v>38</v>
      </c>
      <c r="AW99" s="264"/>
      <c r="AX99">
        <v>78</v>
      </c>
      <c r="AY99" t="e">
        <f t="shared" si="93"/>
        <v>#N/A</v>
      </c>
      <c r="AZ99" t="e">
        <f t="shared" si="94"/>
        <v>#N/A</v>
      </c>
      <c r="BA99" t="e">
        <f t="shared" si="95"/>
        <v>#N/A</v>
      </c>
      <c r="BB99" t="e">
        <f t="shared" si="96"/>
        <v>#N/A</v>
      </c>
      <c r="BC99" t="e">
        <f>IF(AND(BB$18&lt;1,AZ99&lt;=BC$18),IF(BB$18+BB99+SUMIF(BC$21:BC98,BD$18,BB$21:BB98)&lt;=1,BD$18,0))</f>
        <v>#N/A</v>
      </c>
      <c r="BD99" t="e">
        <f t="shared" si="101"/>
        <v>#N/A</v>
      </c>
      <c r="BE99" t="e">
        <f>IF(AND(BB$19&lt;1,AZ99&lt;=BC$19),IF(BB$19+BD99+SUMIF(BE$21:BE98,BD$19,BD$21:BD98)&lt;=1,BD$19,0))</f>
        <v>#N/A</v>
      </c>
      <c r="BF99" t="e">
        <f t="shared" si="102"/>
        <v>#N/A</v>
      </c>
      <c r="BG99">
        <f t="shared" si="97"/>
        <v>0</v>
      </c>
      <c r="BH99">
        <f t="shared" si="98"/>
        <v>0</v>
      </c>
      <c r="BI99">
        <f t="shared" si="99"/>
        <v>0</v>
      </c>
      <c r="BJ99" t="e">
        <f t="shared" si="103"/>
        <v>#N/A</v>
      </c>
      <c r="BK99" t="e">
        <f>IF(BJ99=0,BK98,IF(ROUNDDOWN(SUM(BJ$22:BJ99),0)=ROUNDDOWN(SUM(BJ$22:BJ98),0),BK98+BJ99,ROUNDDOWN(SUM(BJ$22:BJ99),0)+BJ99))</f>
        <v>#N/A</v>
      </c>
      <c r="BL99" t="e">
        <f t="shared" si="105"/>
        <v>#N/A</v>
      </c>
      <c r="BM99" t="e">
        <f t="shared" si="100"/>
        <v>#N/A</v>
      </c>
      <c r="BN99" t="e">
        <f t="shared" si="104"/>
        <v>#N/A</v>
      </c>
    </row>
    <row r="100" spans="1:66" x14ac:dyDescent="0.25">
      <c r="A100">
        <v>1</v>
      </c>
      <c r="B100">
        <f>_xlfn.XLOOKUP(A100,D$91:D$98,A$91:A$98,0)</f>
        <v>0</v>
      </c>
      <c r="C100">
        <f>IF(B100&gt;0,B100,IF(A100&lt;=C$90,C101,0))</f>
        <v>0</v>
      </c>
      <c r="D100" t="e">
        <f>IF(C$89-C100&gt;=0,C100,0)</f>
        <v>#N/A</v>
      </c>
      <c r="E100" t="e">
        <f>IF(AND(D116&gt;0,D100&gt;0,D115&gt;0),-D100,0)</f>
        <v>#N/A</v>
      </c>
      <c r="F100" t="e">
        <f>D100+E100</f>
        <v>#N/A</v>
      </c>
      <c r="G100" t="e">
        <f>IF(F100&gt;0,F100*10+COUNTIF(F$100:F100,F100),0)</f>
        <v>#N/A</v>
      </c>
      <c r="H100" t="e">
        <f>IF(G100&gt;0,_xlfn.XLOOKUP(G100,K$61:K$80,B$61:B$80,0),0)</f>
        <v>#N/A</v>
      </c>
      <c r="J100">
        <f>IF(C100&gt;0,COUNTIF(F$100:F$114,C100),0)</f>
        <v>0</v>
      </c>
      <c r="L100">
        <v>97</v>
      </c>
      <c r="M100">
        <f>_xlfn.XLOOKUP(L100,'Order Page'!X$27:X$393,'Order Page'!T$27:T$393,0)</f>
        <v>0</v>
      </c>
      <c r="N100">
        <f>_xlfn.XLOOKUP(L100,'Order Page'!X$27:X$393,'Order Page'!R$27:R$393,0)</f>
        <v>0</v>
      </c>
      <c r="O100" t="str">
        <f t="shared" ref="O100:O131" si="109">IF(M100&lt;&gt;0,_xlfn.XLOOKUP(M100,B$38:B$46,C$38:C$46,"")+_xlfn.XLOOKUP(N100,G$38:G$45,H$38:H$45,0)+L100,"")</f>
        <v/>
      </c>
      <c r="P100" t="str">
        <f t="shared" ref="P100:P131" si="110">IFERROR(IF(O100&gt;0,RANK(O100,O$4:O$154,1)-1,0),"")</f>
        <v/>
      </c>
      <c r="Q100" s="263"/>
      <c r="R100">
        <v>97</v>
      </c>
      <c r="S100">
        <f t="shared" si="85"/>
        <v>1</v>
      </c>
      <c r="T100">
        <f t="shared" ref="T100:T131" si="111">_xlfn.XLOOKUP(R100,P$4:P$153,L$4:L$153,0)</f>
        <v>0</v>
      </c>
      <c r="U100">
        <f>_xlfn.XLOOKUP(T100,'Order Page'!X$27:X$393,'Order Page'!U$27:U$393,"")</f>
        <v>0</v>
      </c>
      <c r="W100" t="str">
        <f t="shared" ref="W100:W131" si="112">_xlfn.XLOOKUP(T100,L$4:L$153,M$4:M$153,"")</f>
        <v/>
      </c>
      <c r="X100" t="str">
        <f t="shared" ref="X100:X131" si="113">_xlfn.XLOOKUP(T100,L$4:L$153,N$4:N$153,"")</f>
        <v/>
      </c>
      <c r="Y100" t="str">
        <f>_xlfn.XLOOKUP(T100,'Order Page'!X$27:X$393,'Order Page'!C$27:C$393,"")</f>
        <v>Acorus Calamus</v>
      </c>
      <c r="Z100" s="264"/>
      <c r="AA100">
        <v>97</v>
      </c>
      <c r="AB100" cm="1">
        <f t="array" ref="AB100">VLOOKUP(ROW(97:97),S$4:T$153,2)</f>
        <v>0</v>
      </c>
      <c r="AD100" t="str">
        <f t="shared" ref="AD100:AD131" si="114">_xlfn.XLOOKUP(AB100,L$4:L$153,M$4:M$153,"")</f>
        <v/>
      </c>
      <c r="AE100" t="e">
        <f t="shared" si="86"/>
        <v>#N/A</v>
      </c>
      <c r="AF100" t="str">
        <f t="shared" ref="AF100:AF131" si="115">_xlfn.XLOOKUP(AB100,L$4:L$153,N$4:N$153,"")</f>
        <v/>
      </c>
      <c r="AG100" t="str">
        <f>_xlfn.XLOOKUP(AB100,'Order Page'!X$27:X$393,'Order Page'!C$27:C$393,"")</f>
        <v>Acorus Calamus</v>
      </c>
      <c r="AH100">
        <f t="shared" ref="AH100:AH131" si="116">_xlfn.XLOOKUP(AD100&amp;AF100,E$5:E$35,H$5:H$35,0)</f>
        <v>0</v>
      </c>
      <c r="AI100">
        <f t="shared" ref="AI100:AI131" si="117">_xlfn.XLOOKUP(AD100,B$5:B$35,D$5:D$35,0)</f>
        <v>0</v>
      </c>
      <c r="AJ100">
        <f t="shared" si="92"/>
        <v>0</v>
      </c>
      <c r="AK100">
        <f t="shared" si="87"/>
        <v>0</v>
      </c>
      <c r="AL100">
        <f>IF(OR(AD99&amp;AF99&lt;&gt;AD100&amp;AF100,AK100&lt;AK99),AK99,0)+MAX(AL$4:AL99)</f>
        <v>0</v>
      </c>
      <c r="AM100">
        <f t="shared" si="88"/>
        <v>0</v>
      </c>
      <c r="AO100" s="25" t="str">
        <f t="shared" si="89"/>
        <v/>
      </c>
      <c r="AP100" s="25" t="str">
        <f t="shared" ref="AP100:AP131" si="118">IF(AND(AO100="Y",OR(AD100="Waterlily",AD100="Planted Contour Basket Standard",AD100="Planted Contour Basket Premium")),"Y","")</f>
        <v/>
      </c>
      <c r="AQ100" t="str">
        <f t="shared" si="90"/>
        <v/>
      </c>
      <c r="AR100" t="str">
        <f t="shared" ref="AR100:AR131" si="119">IFERROR(IF(AQ100&gt;0,RANK(AQ100,AQ$4:AQ$203,1),0)-AM$2,"")</f>
        <v/>
      </c>
      <c r="AS100">
        <f t="shared" ref="AS100:AS131" si="120">AM100+IF(AR100&lt;1,_xlfn.XLOOKUP(AR100,AX$4:AX$16,BE$4:BE$16,0))+IF(AR100&gt;0,_xlfn.XLOOKUP(AR100,AX$22:AX$103,BN$22:BN$103,0),0)</f>
        <v>0</v>
      </c>
      <c r="AT100">
        <f t="shared" si="91"/>
        <v>0</v>
      </c>
      <c r="AU100" t="str">
        <f>_xlfn.XLOOKUP(AB100,'Order Page'!X$24:X$378,'Order Page'!B$24:B$378,0)</f>
        <v>x6</v>
      </c>
      <c r="AV100">
        <f>_xlfn.XLOOKUP(AB100,'Order Page'!X$24:X$378,'Order Page'!O$24:O$378,0)</f>
        <v>38</v>
      </c>
      <c r="AW100" s="264"/>
      <c r="AX100">
        <v>79</v>
      </c>
      <c r="AY100" t="e">
        <f t="shared" si="93"/>
        <v>#N/A</v>
      </c>
      <c r="AZ100" t="e">
        <f t="shared" si="94"/>
        <v>#N/A</v>
      </c>
      <c r="BA100" t="e">
        <f t="shared" si="95"/>
        <v>#N/A</v>
      </c>
      <c r="BB100" t="e">
        <f t="shared" si="96"/>
        <v>#N/A</v>
      </c>
      <c r="BC100" t="e">
        <f>IF(AND(BB$18&lt;1,AZ100&lt;=BC$18),IF(BB$18+BB100+SUMIF(BC$21:BC99,BD$18,BB$21:BB99)&lt;=1,BD$18,0))</f>
        <v>#N/A</v>
      </c>
      <c r="BD100" t="e">
        <f t="shared" si="101"/>
        <v>#N/A</v>
      </c>
      <c r="BE100" t="e">
        <f>IF(AND(BB$19&lt;1,AZ100&lt;=BC$19),IF(BB$19+BD100+SUMIF(BE$21:BE99,BD$19,BD$21:BD99)&lt;=1,BD$19,0))</f>
        <v>#N/A</v>
      </c>
      <c r="BF100" t="e">
        <f t="shared" si="102"/>
        <v>#N/A</v>
      </c>
      <c r="BG100">
        <f t="shared" si="97"/>
        <v>0</v>
      </c>
      <c r="BH100">
        <f t="shared" si="98"/>
        <v>0</v>
      </c>
      <c r="BI100">
        <f t="shared" si="99"/>
        <v>0</v>
      </c>
      <c r="BJ100" t="e">
        <f t="shared" si="103"/>
        <v>#N/A</v>
      </c>
      <c r="BK100" t="e">
        <f>IF(BJ100=0,BK99,IF(ROUNDDOWN(SUM(BJ$22:BJ100),0)=ROUNDDOWN(SUM(BJ$22:BJ99),0),BK99+BJ100,ROUNDDOWN(SUM(BJ$22:BJ100),0)+BJ100))</f>
        <v>#N/A</v>
      </c>
      <c r="BL100" t="e">
        <f t="shared" si="105"/>
        <v>#N/A</v>
      </c>
      <c r="BM100" t="e">
        <f t="shared" si="100"/>
        <v>#N/A</v>
      </c>
      <c r="BN100" t="e">
        <f t="shared" si="104"/>
        <v>#N/A</v>
      </c>
    </row>
    <row r="101" spans="1:66" x14ac:dyDescent="0.25">
      <c r="A101">
        <v>2</v>
      </c>
      <c r="B101">
        <f t="shared" ref="B101:B114" si="121">_xlfn.XLOOKUP(A101,D$91:D$98,A$91:A$98,0)</f>
        <v>0</v>
      </c>
      <c r="C101">
        <f>IF(B101&gt;0,B101,IF(A101&lt;=C$90,C102,0))</f>
        <v>0</v>
      </c>
      <c r="D101" t="e">
        <f>IF(C$89-SUM(D$100:D100)-C101&gt;=0,C101,0)</f>
        <v>#N/A</v>
      </c>
      <c r="E101" t="e">
        <f>IF(COUNTIF(E$100:E100,"&lt;0")=0,IF(AND(D$116&gt;0,D101&gt;0,D$115&gt;0),-D101,0),IF(AND(D101=0,C101&gt;0),IF(D$116-SUM(E$100:E100)-C101&gt;=0,C101,0),0))</f>
        <v>#N/A</v>
      </c>
      <c r="F101" t="e">
        <f t="shared" ref="F101:F114" si="122">D101+E101</f>
        <v>#N/A</v>
      </c>
      <c r="G101" t="e">
        <f>IF(F101&gt;0,F101*10+COUNTIF(F$100:F101,F101),0)</f>
        <v>#N/A</v>
      </c>
      <c r="H101" t="e">
        <f t="shared" ref="H101:H114" si="123">IF(G101&gt;0,_xlfn.XLOOKUP(G101,K$61:K$80,B$61:B$80,0),0)</f>
        <v>#N/A</v>
      </c>
      <c r="J101">
        <f t="shared" ref="J101:J114" si="124">IF(C101&gt;0,COUNTIF(F$100:F$114,C101),0)</f>
        <v>0</v>
      </c>
      <c r="L101">
        <v>98</v>
      </c>
      <c r="M101">
        <f>_xlfn.XLOOKUP(L101,'Order Page'!X$27:X$393,'Order Page'!T$27:T$393,0)</f>
        <v>0</v>
      </c>
      <c r="N101">
        <f>_xlfn.XLOOKUP(L101,'Order Page'!X$27:X$393,'Order Page'!R$27:R$393,0)</f>
        <v>0</v>
      </c>
      <c r="O101" t="str">
        <f t="shared" si="109"/>
        <v/>
      </c>
      <c r="P101" t="str">
        <f t="shared" si="110"/>
        <v/>
      </c>
      <c r="Q101" s="263"/>
      <c r="R101">
        <v>98</v>
      </c>
      <c r="S101">
        <f t="shared" ref="S101:S132" si="125">S100+U100</f>
        <v>1</v>
      </c>
      <c r="T101">
        <f t="shared" si="111"/>
        <v>0</v>
      </c>
      <c r="U101">
        <f>_xlfn.XLOOKUP(T101,'Order Page'!X$27:X$393,'Order Page'!U$27:U$393,"")</f>
        <v>0</v>
      </c>
      <c r="W101" t="str">
        <f t="shared" si="112"/>
        <v/>
      </c>
      <c r="X101" t="str">
        <f t="shared" si="113"/>
        <v/>
      </c>
      <c r="Y101" t="str">
        <f>_xlfn.XLOOKUP(T101,'Order Page'!X$27:X$393,'Order Page'!C$27:C$393,"")</f>
        <v>Acorus Calamus</v>
      </c>
      <c r="Z101" s="264"/>
      <c r="AA101">
        <v>98</v>
      </c>
      <c r="AB101" cm="1">
        <f t="array" ref="AB101">VLOOKUP(ROW(98:98),S$4:T$153,2)</f>
        <v>0</v>
      </c>
      <c r="AD101" t="str">
        <f t="shared" si="114"/>
        <v/>
      </c>
      <c r="AE101" t="e">
        <f t="shared" si="86"/>
        <v>#N/A</v>
      </c>
      <c r="AF101" t="str">
        <f t="shared" si="115"/>
        <v/>
      </c>
      <c r="AG101" t="str">
        <f>_xlfn.XLOOKUP(AB101,'Order Page'!X$27:X$393,'Order Page'!C$27:C$393,"")</f>
        <v>Acorus Calamus</v>
      </c>
      <c r="AH101">
        <f t="shared" si="116"/>
        <v>0</v>
      </c>
      <c r="AI101">
        <f t="shared" si="117"/>
        <v>0</v>
      </c>
      <c r="AJ101">
        <f t="shared" si="92"/>
        <v>0</v>
      </c>
      <c r="AK101">
        <f t="shared" si="87"/>
        <v>0</v>
      </c>
      <c r="AL101">
        <f>IF(OR(AD100&amp;AF100&lt;&gt;AD101&amp;AF101,AK101&lt;AK100),AK100,0)+MAX(AL$4:AL100)</f>
        <v>0</v>
      </c>
      <c r="AM101">
        <f t="shared" si="88"/>
        <v>0</v>
      </c>
      <c r="AO101" s="25" t="str">
        <f t="shared" si="89"/>
        <v/>
      </c>
      <c r="AP101" s="25" t="str">
        <f t="shared" si="118"/>
        <v/>
      </c>
      <c r="AQ101" t="str">
        <f t="shared" si="90"/>
        <v/>
      </c>
      <c r="AR101" t="str">
        <f>IFERROR(IF(AQ101&gt;0,RANK(AQ101,AQ$4:AQ$203,1),0)-AM$2,"")</f>
        <v/>
      </c>
      <c r="AS101">
        <f t="shared" si="120"/>
        <v>0</v>
      </c>
      <c r="AT101">
        <f t="shared" si="91"/>
        <v>0</v>
      </c>
      <c r="AU101" t="str">
        <f>_xlfn.XLOOKUP(AB101,'Order Page'!X$24:X$378,'Order Page'!B$24:B$378,0)</f>
        <v>x6</v>
      </c>
      <c r="AV101">
        <f>_xlfn.XLOOKUP(AB101,'Order Page'!X$24:X$378,'Order Page'!O$24:O$378,0)</f>
        <v>38</v>
      </c>
      <c r="AW101" s="264"/>
      <c r="AX101">
        <v>80</v>
      </c>
      <c r="AY101" t="e">
        <f t="shared" si="93"/>
        <v>#N/A</v>
      </c>
      <c r="AZ101" t="e">
        <f t="shared" si="94"/>
        <v>#N/A</v>
      </c>
      <c r="BA101" t="e">
        <f t="shared" si="95"/>
        <v>#N/A</v>
      </c>
      <c r="BB101" t="e">
        <f t="shared" si="96"/>
        <v>#N/A</v>
      </c>
      <c r="BC101" t="e">
        <f>IF(AND(BB$18&lt;1,AZ101&lt;=BC$18),IF(BB$18+BB101+SUMIF(BC$21:BC100,BD$18,BB$21:BB100)&lt;=1,BD$18,0))</f>
        <v>#N/A</v>
      </c>
      <c r="BD101" t="e">
        <f t="shared" si="101"/>
        <v>#N/A</v>
      </c>
      <c r="BE101" t="e">
        <f>IF(AND(BB$19&lt;1,AZ101&lt;=BC$19),IF(BB$19+BD101+SUMIF(BE$21:BE100,BD$19,BD$21:BD100)&lt;=1,BD$19,0))</f>
        <v>#N/A</v>
      </c>
      <c r="BF101" t="e">
        <f t="shared" si="102"/>
        <v>#N/A</v>
      </c>
      <c r="BG101">
        <f t="shared" si="97"/>
        <v>0</v>
      </c>
      <c r="BH101">
        <f t="shared" si="98"/>
        <v>0</v>
      </c>
      <c r="BI101">
        <f t="shared" si="99"/>
        <v>0</v>
      </c>
      <c r="BJ101" t="e">
        <f t="shared" si="103"/>
        <v>#N/A</v>
      </c>
      <c r="BK101" t="e">
        <f>IF(BJ101=0,BK100,IF(ROUNDDOWN(SUM(BJ$22:BJ101),0)=ROUNDDOWN(SUM(BJ$22:BJ100),0),BK100+BJ101,ROUNDDOWN(SUM(BJ$22:BJ101),0)+BJ101))</f>
        <v>#N/A</v>
      </c>
      <c r="BL101" t="e">
        <f t="shared" si="105"/>
        <v>#N/A</v>
      </c>
      <c r="BM101" t="e">
        <f t="shared" si="100"/>
        <v>#N/A</v>
      </c>
      <c r="BN101" t="e">
        <f t="shared" si="104"/>
        <v>#N/A</v>
      </c>
    </row>
    <row r="102" spans="1:66" x14ac:dyDescent="0.25">
      <c r="A102">
        <v>3</v>
      </c>
      <c r="B102">
        <f t="shared" si="121"/>
        <v>0</v>
      </c>
      <c r="C102">
        <f t="shared" ref="C102:C113" si="126">IF(B102&gt;0,B102,IF(A102&lt;=C$90,C103,0))</f>
        <v>0</v>
      </c>
      <c r="D102" t="e">
        <f>IF(C$89-SUM(D$100:D101)-C102&gt;=0,C102,0)</f>
        <v>#N/A</v>
      </c>
      <c r="E102" t="e">
        <f>IF(COUNTIF(E$100:E101,"&lt;0")=0,IF(AND(D$116&gt;0,D102&gt;0,D$115&gt;0),-D102,0),IF(AND(D102=0,C102&gt;0),IF(D$116-SUM(E$100:E101)-C102&gt;=0,C102,0),0))</f>
        <v>#N/A</v>
      </c>
      <c r="F102" t="e">
        <f t="shared" si="122"/>
        <v>#N/A</v>
      </c>
      <c r="G102" t="e">
        <f>IF(F102&gt;0,F102*10+COUNTIF(F$100:F102,F102),0)</f>
        <v>#N/A</v>
      </c>
      <c r="H102" t="e">
        <f t="shared" si="123"/>
        <v>#N/A</v>
      </c>
      <c r="J102">
        <f t="shared" si="124"/>
        <v>0</v>
      </c>
      <c r="L102">
        <v>99</v>
      </c>
      <c r="M102">
        <f>_xlfn.XLOOKUP(L102,'Order Page'!X$27:X$393,'Order Page'!T$27:T$393,0)</f>
        <v>0</v>
      </c>
      <c r="N102">
        <f>_xlfn.XLOOKUP(L102,'Order Page'!X$27:X$393,'Order Page'!R$27:R$393,0)</f>
        <v>0</v>
      </c>
      <c r="O102" t="str">
        <f t="shared" si="109"/>
        <v/>
      </c>
      <c r="P102" t="str">
        <f t="shared" si="110"/>
        <v/>
      </c>
      <c r="Q102" s="263"/>
      <c r="R102">
        <v>99</v>
      </c>
      <c r="S102">
        <f t="shared" si="125"/>
        <v>1</v>
      </c>
      <c r="T102">
        <f t="shared" si="111"/>
        <v>0</v>
      </c>
      <c r="U102">
        <f>_xlfn.XLOOKUP(T102,'Order Page'!X$27:X$393,'Order Page'!U$27:U$393,"")</f>
        <v>0</v>
      </c>
      <c r="W102" t="str">
        <f t="shared" si="112"/>
        <v/>
      </c>
      <c r="X102" t="str">
        <f t="shared" si="113"/>
        <v/>
      </c>
      <c r="Y102" t="str">
        <f>_xlfn.XLOOKUP(T102,'Order Page'!X$27:X$393,'Order Page'!C$27:C$393,"")</f>
        <v>Acorus Calamus</v>
      </c>
      <c r="Z102" s="264"/>
      <c r="AA102">
        <v>99</v>
      </c>
      <c r="AB102" cm="1">
        <f t="array" ref="AB102">VLOOKUP(ROW(99:99),S$4:T$153,2)</f>
        <v>0</v>
      </c>
      <c r="AD102" t="str">
        <f t="shared" si="114"/>
        <v/>
      </c>
      <c r="AE102" t="e">
        <f t="shared" si="86"/>
        <v>#N/A</v>
      </c>
      <c r="AF102" t="str">
        <f t="shared" si="115"/>
        <v/>
      </c>
      <c r="AG102" t="str">
        <f>_xlfn.XLOOKUP(AB102,'Order Page'!X$27:X$393,'Order Page'!C$27:C$393,"")</f>
        <v>Acorus Calamus</v>
      </c>
      <c r="AH102">
        <f>_xlfn.XLOOKUP(AD102&amp;AF102,E$5:E$35,H$5:H$35,0)</f>
        <v>0</v>
      </c>
      <c r="AI102">
        <f t="shared" si="117"/>
        <v>0</v>
      </c>
      <c r="AJ102">
        <f t="shared" si="92"/>
        <v>0</v>
      </c>
      <c r="AK102">
        <f>IF(AJ102&lt;AH102+0.001,ROUNDUP(AJ102,0),0)</f>
        <v>0</v>
      </c>
      <c r="AL102">
        <f>IF(OR(AD101&amp;AF101&lt;&gt;AD102&amp;AF102,AK102&lt;AK101),AK101,0)+MAX(AL$4:AL101)</f>
        <v>0</v>
      </c>
      <c r="AM102">
        <f t="shared" si="88"/>
        <v>0</v>
      </c>
      <c r="AO102" s="25" t="str">
        <f t="shared" si="89"/>
        <v/>
      </c>
      <c r="AP102" s="25" t="str">
        <f t="shared" si="118"/>
        <v/>
      </c>
      <c r="AQ102" t="str">
        <f t="shared" si="90"/>
        <v/>
      </c>
      <c r="AR102" t="str">
        <f t="shared" si="119"/>
        <v/>
      </c>
      <c r="AS102">
        <f t="shared" si="120"/>
        <v>0</v>
      </c>
      <c r="AT102">
        <f t="shared" si="91"/>
        <v>0</v>
      </c>
      <c r="AU102" t="str">
        <f>_xlfn.XLOOKUP(AB102,'Order Page'!X$24:X$378,'Order Page'!B$24:B$378,0)</f>
        <v>x6</v>
      </c>
      <c r="AV102">
        <f>_xlfn.XLOOKUP(AB102,'Order Page'!X$24:X$378,'Order Page'!O$24:O$378,0)</f>
        <v>38</v>
      </c>
      <c r="AW102" s="264"/>
      <c r="AX102">
        <v>81</v>
      </c>
      <c r="AY102" t="e">
        <f t="shared" si="93"/>
        <v>#N/A</v>
      </c>
      <c r="AZ102" t="e">
        <f t="shared" si="94"/>
        <v>#N/A</v>
      </c>
      <c r="BA102" t="e">
        <f t="shared" si="95"/>
        <v>#N/A</v>
      </c>
      <c r="BB102" t="e">
        <f t="shared" si="96"/>
        <v>#N/A</v>
      </c>
      <c r="BC102" t="e">
        <f>IF(AND(BB$18&lt;1,AZ102&lt;=BC$18),IF(BB$18+BB102+SUMIF(BC$21:BC101,BD$18,BB$21:BB101)&lt;=1,BD$18,0))</f>
        <v>#N/A</v>
      </c>
      <c r="BD102" t="e">
        <f t="shared" si="101"/>
        <v>#N/A</v>
      </c>
      <c r="BE102" t="e">
        <f>IF(AND(BB$19&lt;1,AZ102&lt;=BC$19),IF(BB$19+BD102+SUMIF(BE$21:BE101,BD$19,BD$21:BD101)&lt;=1,BD$19,0))</f>
        <v>#N/A</v>
      </c>
      <c r="BF102" t="e">
        <f t="shared" si="102"/>
        <v>#N/A</v>
      </c>
      <c r="BG102">
        <f t="shared" si="97"/>
        <v>0</v>
      </c>
      <c r="BH102">
        <f t="shared" si="98"/>
        <v>0</v>
      </c>
      <c r="BI102">
        <f t="shared" si="99"/>
        <v>0</v>
      </c>
      <c r="BJ102" t="e">
        <f t="shared" si="103"/>
        <v>#N/A</v>
      </c>
      <c r="BK102" t="e">
        <f>IF(BJ102=0,BK101,IF(ROUNDDOWN(SUM(BJ$22:BJ102),0)=ROUNDDOWN(SUM(BJ$22:BJ101),0),BK101+BJ102,ROUNDDOWN(SUM(BJ$22:BJ102),0)+BJ102))</f>
        <v>#N/A</v>
      </c>
      <c r="BL102" t="e">
        <f t="shared" si="105"/>
        <v>#N/A</v>
      </c>
      <c r="BM102" t="e">
        <f t="shared" si="100"/>
        <v>#N/A</v>
      </c>
      <c r="BN102" t="e">
        <f t="shared" si="104"/>
        <v>#N/A</v>
      </c>
    </row>
    <row r="103" spans="1:66" x14ac:dyDescent="0.25">
      <c r="A103">
        <v>4</v>
      </c>
      <c r="B103">
        <f t="shared" si="121"/>
        <v>0</v>
      </c>
      <c r="C103">
        <f>IF(B103&gt;0,B103,IF(A103&lt;=C$90,C104,0))</f>
        <v>0</v>
      </c>
      <c r="D103" t="e">
        <f>IF(C$89-SUM(D$100:D102)-C103&gt;=0,C103,0)</f>
        <v>#N/A</v>
      </c>
      <c r="E103" t="e">
        <f>IF(COUNTIF(E$100:E102,"&lt;0")=0,IF(AND(D$116&gt;0,D103&gt;0,D$115&gt;0),-D103,0),IF(AND(D103=0,C103&gt;0),IF(D$116-SUM(E$100:E102)-C103&gt;=0,C103,0),0))</f>
        <v>#N/A</v>
      </c>
      <c r="F103" t="e">
        <f t="shared" si="122"/>
        <v>#N/A</v>
      </c>
      <c r="G103" t="e">
        <f>IF(F103&gt;0,F103*10+COUNTIF(F$100:F103,F103),0)</f>
        <v>#N/A</v>
      </c>
      <c r="H103" t="e">
        <f t="shared" si="123"/>
        <v>#N/A</v>
      </c>
      <c r="J103">
        <f t="shared" si="124"/>
        <v>0</v>
      </c>
      <c r="L103">
        <v>100</v>
      </c>
      <c r="M103">
        <f>_xlfn.XLOOKUP(L103,'Order Page'!X$27:X$393,'Order Page'!T$27:T$393,0)</f>
        <v>0</v>
      </c>
      <c r="N103">
        <f>_xlfn.XLOOKUP(L103,'Order Page'!X$27:X$393,'Order Page'!R$27:R$393,0)</f>
        <v>0</v>
      </c>
      <c r="O103" t="str">
        <f t="shared" si="109"/>
        <v/>
      </c>
      <c r="P103" t="str">
        <f t="shared" si="110"/>
        <v/>
      </c>
      <c r="Q103" s="263"/>
      <c r="R103">
        <v>100</v>
      </c>
      <c r="S103">
        <f t="shared" si="125"/>
        <v>1</v>
      </c>
      <c r="T103">
        <f t="shared" si="111"/>
        <v>0</v>
      </c>
      <c r="U103">
        <f>_xlfn.XLOOKUP(T103,'Order Page'!X$27:X$393,'Order Page'!U$27:U$393,"")</f>
        <v>0</v>
      </c>
      <c r="W103" t="str">
        <f t="shared" si="112"/>
        <v/>
      </c>
      <c r="X103" t="str">
        <f t="shared" si="113"/>
        <v/>
      </c>
      <c r="Y103" t="str">
        <f>_xlfn.XLOOKUP(T103,'Order Page'!X$27:X$393,'Order Page'!C$27:C$393,"")</f>
        <v>Acorus Calamus</v>
      </c>
      <c r="Z103" s="264"/>
      <c r="AA103">
        <v>100</v>
      </c>
      <c r="AB103" cm="1">
        <f t="array" ref="AB103">VLOOKUP(ROW(100:100),S$4:T$153,2)</f>
        <v>0</v>
      </c>
      <c r="AD103" t="str">
        <f t="shared" si="114"/>
        <v/>
      </c>
      <c r="AE103" t="e">
        <f t="shared" si="86"/>
        <v>#N/A</v>
      </c>
      <c r="AF103" t="str">
        <f t="shared" si="115"/>
        <v/>
      </c>
      <c r="AG103" t="str">
        <f>_xlfn.XLOOKUP(AB103,'Order Page'!X$27:X$393,'Order Page'!C$27:C$393,"")</f>
        <v>Acorus Calamus</v>
      </c>
      <c r="AH103">
        <f t="shared" si="116"/>
        <v>0</v>
      </c>
      <c r="AI103">
        <f t="shared" si="117"/>
        <v>0</v>
      </c>
      <c r="AJ103">
        <f t="shared" si="92"/>
        <v>0</v>
      </c>
      <c r="AK103">
        <f t="shared" si="87"/>
        <v>0</v>
      </c>
      <c r="AL103">
        <f>IF(OR(AD102&amp;AF102&lt;&gt;AD103&amp;AF103,AK103&lt;AK102),AK102,0)+MAX(AL$4:AL102)</f>
        <v>0</v>
      </c>
      <c r="AM103">
        <f t="shared" si="88"/>
        <v>0</v>
      </c>
      <c r="AO103" s="25" t="str">
        <f t="shared" si="89"/>
        <v/>
      </c>
      <c r="AP103" s="25" t="str">
        <f t="shared" si="118"/>
        <v/>
      </c>
      <c r="AQ103" t="str">
        <f t="shared" si="90"/>
        <v/>
      </c>
      <c r="AR103" t="str">
        <f t="shared" si="119"/>
        <v/>
      </c>
      <c r="AS103">
        <f t="shared" si="120"/>
        <v>0</v>
      </c>
      <c r="AT103">
        <f t="shared" si="91"/>
        <v>0</v>
      </c>
      <c r="AU103" t="str">
        <f>_xlfn.XLOOKUP(AB103,'Order Page'!X$24:X$378,'Order Page'!B$24:B$378,0)</f>
        <v>x6</v>
      </c>
      <c r="AV103">
        <f>_xlfn.XLOOKUP(AB103,'Order Page'!X$24:X$378,'Order Page'!O$24:O$378,0)</f>
        <v>38</v>
      </c>
      <c r="AW103" s="264"/>
      <c r="AX103">
        <v>82</v>
      </c>
      <c r="AY103" t="e">
        <f t="shared" si="93"/>
        <v>#N/A</v>
      </c>
      <c r="AZ103" t="e">
        <f t="shared" si="94"/>
        <v>#N/A</v>
      </c>
      <c r="BA103" t="e">
        <f t="shared" si="95"/>
        <v>#N/A</v>
      </c>
      <c r="BB103" t="e">
        <f t="shared" si="96"/>
        <v>#N/A</v>
      </c>
      <c r="BC103" t="e">
        <f>IF(AND(BB$18&lt;1,AZ103&lt;=BC$18),IF(BB$18+BB103+SUMIF(BC$21:BC102,BD$18,BB$21:BB102)&lt;=1,BD$18,0))</f>
        <v>#N/A</v>
      </c>
      <c r="BD103" t="e">
        <f t="shared" si="101"/>
        <v>#N/A</v>
      </c>
      <c r="BE103" t="e">
        <f>IF(AND(BB$19&lt;1,AZ103&lt;=BC$19),IF(BB$19+BD103+SUMIF(BE$21:BE102,BD$19,BD$21:BD102)&lt;=1,BD$19,0))</f>
        <v>#N/A</v>
      </c>
      <c r="BF103" t="e">
        <f t="shared" si="102"/>
        <v>#N/A</v>
      </c>
      <c r="BG103">
        <f>IFERROR(IF(BF103&gt;0,IF(BG104+BF103&lt;=1,BG104+BF103,BG104),BG104),BG104)</f>
        <v>0</v>
      </c>
      <c r="BH103">
        <f>IFERROR(IF(AND(BF103&gt;0,BG104=BG103),IF(BH104+BF103&lt;=1,BH104+BF103,BH104),BH104),BH104)</f>
        <v>0</v>
      </c>
      <c r="BI103">
        <f>IF(BG103&lt;&gt;BG104,BD$18,IF(BH103&lt;&gt;BH104,BD$19,0))</f>
        <v>0</v>
      </c>
      <c r="BJ103" t="e">
        <f t="shared" si="103"/>
        <v>#N/A</v>
      </c>
      <c r="BK103" t="e">
        <f>IF(BJ103=0,BK102,IF(ROUNDDOWN(SUM(BJ$22:BJ103),0)=ROUNDDOWN(SUM(BJ$22:BJ102),0),BK102+BJ103,ROUNDDOWN(SUM(BJ$22:BJ103),0)+BJ103))</f>
        <v>#N/A</v>
      </c>
      <c r="BL103" t="e">
        <f t="shared" si="105"/>
        <v>#N/A</v>
      </c>
      <c r="BM103" t="e">
        <f t="shared" si="100"/>
        <v>#N/A</v>
      </c>
      <c r="BN103" t="e">
        <f t="shared" si="104"/>
        <v>#N/A</v>
      </c>
    </row>
    <row r="104" spans="1:66" x14ac:dyDescent="0.25">
      <c r="A104">
        <v>5</v>
      </c>
      <c r="B104">
        <f t="shared" si="121"/>
        <v>0</v>
      </c>
      <c r="C104">
        <f>IF(B104&gt;0,B104,IF(A104&lt;=C$90,C105,0))</f>
        <v>0</v>
      </c>
      <c r="D104" t="e">
        <f>IF(C$89-SUM(D$100:D103)-C104&gt;=0,C104,0)</f>
        <v>#N/A</v>
      </c>
      <c r="E104" t="e">
        <f>IF(COUNTIF(E$100:E103,"&lt;0")=0,IF(AND(D$116&gt;0,D104&gt;0,D$115&gt;0),-D104,0),IF(AND(D104=0,C104&gt;0),IF(D$116-SUM(E$100:E103)-C104&gt;=0,C104,0),0))</f>
        <v>#N/A</v>
      </c>
      <c r="F104" t="e">
        <f t="shared" si="122"/>
        <v>#N/A</v>
      </c>
      <c r="G104" t="e">
        <f>IF(F104&gt;0,F104*10+COUNTIF(F$100:F104,F104),0)</f>
        <v>#N/A</v>
      </c>
      <c r="H104" t="e">
        <f t="shared" si="123"/>
        <v>#N/A</v>
      </c>
      <c r="J104">
        <f t="shared" si="124"/>
        <v>0</v>
      </c>
      <c r="L104">
        <v>101</v>
      </c>
      <c r="M104">
        <f>_xlfn.XLOOKUP(L104,'Order Page'!X$27:X$393,'Order Page'!T$27:T$393,0)</f>
        <v>0</v>
      </c>
      <c r="N104">
        <f>_xlfn.XLOOKUP(L104,'Order Page'!X$27:X$393,'Order Page'!R$27:R$393,0)</f>
        <v>0</v>
      </c>
      <c r="O104" t="str">
        <f t="shared" si="109"/>
        <v/>
      </c>
      <c r="P104" t="str">
        <f t="shared" si="110"/>
        <v/>
      </c>
      <c r="Q104" s="263"/>
      <c r="R104">
        <v>101</v>
      </c>
      <c r="S104">
        <f t="shared" si="125"/>
        <v>1</v>
      </c>
      <c r="T104">
        <f t="shared" si="111"/>
        <v>0</v>
      </c>
      <c r="U104">
        <f>_xlfn.XLOOKUP(T104,'Order Page'!X$27:X$393,'Order Page'!U$27:U$393,"")</f>
        <v>0</v>
      </c>
      <c r="W104" t="str">
        <f t="shared" si="112"/>
        <v/>
      </c>
      <c r="X104" t="str">
        <f t="shared" si="113"/>
        <v/>
      </c>
      <c r="Y104" t="str">
        <f>_xlfn.XLOOKUP(T104,'Order Page'!X$27:X$393,'Order Page'!C$27:C$393,"")</f>
        <v>Acorus Calamus</v>
      </c>
      <c r="Z104" s="264"/>
      <c r="AA104">
        <v>101</v>
      </c>
      <c r="AB104" cm="1">
        <f t="array" ref="AB104">VLOOKUP(ROW(101:101),S$4:T$153,2)</f>
        <v>0</v>
      </c>
      <c r="AD104" t="str">
        <f t="shared" si="114"/>
        <v/>
      </c>
      <c r="AE104" t="e">
        <f t="shared" si="86"/>
        <v>#N/A</v>
      </c>
      <c r="AF104" t="str">
        <f t="shared" si="115"/>
        <v/>
      </c>
      <c r="AG104" t="str">
        <f>_xlfn.XLOOKUP(AB104,'Order Page'!X$27:X$393,'Order Page'!C$27:C$393,"")</f>
        <v>Acorus Calamus</v>
      </c>
      <c r="AH104">
        <f t="shared" si="116"/>
        <v>0</v>
      </c>
      <c r="AI104">
        <f t="shared" si="117"/>
        <v>0</v>
      </c>
      <c r="AJ104">
        <f t="shared" si="92"/>
        <v>0</v>
      </c>
      <c r="AK104">
        <f t="shared" si="87"/>
        <v>0</v>
      </c>
      <c r="AL104">
        <f>IF(OR(AD103&amp;AF103&lt;&gt;AD104&amp;AF104,AK104&lt;AK103),AK103,0)+MAX(AL$4:AL103)</f>
        <v>0</v>
      </c>
      <c r="AM104">
        <f t="shared" si="88"/>
        <v>0</v>
      </c>
      <c r="AO104" s="25" t="str">
        <f t="shared" si="89"/>
        <v/>
      </c>
      <c r="AP104" s="25" t="str">
        <f t="shared" si="118"/>
        <v/>
      </c>
      <c r="AQ104" t="str">
        <f t="shared" si="90"/>
        <v/>
      </c>
      <c r="AR104" t="str">
        <f t="shared" si="119"/>
        <v/>
      </c>
      <c r="AS104">
        <f t="shared" si="120"/>
        <v>0</v>
      </c>
      <c r="AT104">
        <f t="shared" si="91"/>
        <v>0</v>
      </c>
      <c r="AU104" t="str">
        <f>_xlfn.XLOOKUP(AB104,'Order Page'!X$24:X$378,'Order Page'!B$24:B$378,0)</f>
        <v>x6</v>
      </c>
      <c r="AV104">
        <f>_xlfn.XLOOKUP(AB104,'Order Page'!X$24:X$378,'Order Page'!O$24:O$378,0)</f>
        <v>38</v>
      </c>
      <c r="AW104" s="264"/>
      <c r="BG104" s="260">
        <f>BF18</f>
        <v>0</v>
      </c>
      <c r="BH104" s="260">
        <f>BF19</f>
        <v>0</v>
      </c>
    </row>
    <row r="105" spans="1:66" x14ac:dyDescent="0.25">
      <c r="A105">
        <v>6</v>
      </c>
      <c r="B105">
        <f t="shared" si="121"/>
        <v>0</v>
      </c>
      <c r="C105">
        <f t="shared" si="126"/>
        <v>0</v>
      </c>
      <c r="D105" t="e">
        <f>IF(C$89-SUM(D$100:D104)-C105&gt;=0,C105,0)</f>
        <v>#N/A</v>
      </c>
      <c r="E105" t="e">
        <f>IF(COUNTIF(E$100:E104,"&lt;0")=0,IF(AND(D$116&gt;0,D105&gt;0,D$115&gt;0),-D105,0),IF(AND(D105=0,C105&gt;0),IF(D$116-SUM(E$100:E104)-C105&gt;=0,C105,0),0))</f>
        <v>#N/A</v>
      </c>
      <c r="F105" t="e">
        <f t="shared" si="122"/>
        <v>#N/A</v>
      </c>
      <c r="G105" t="e">
        <f>IF(F105&gt;0,F105*10+COUNTIF(F$100:F105,F105),0)</f>
        <v>#N/A</v>
      </c>
      <c r="H105" t="e">
        <f t="shared" si="123"/>
        <v>#N/A</v>
      </c>
      <c r="J105">
        <f t="shared" si="124"/>
        <v>0</v>
      </c>
      <c r="L105">
        <v>102</v>
      </c>
      <c r="M105">
        <f>_xlfn.XLOOKUP(L105,'Order Page'!X$27:X$393,'Order Page'!T$27:T$393,0)</f>
        <v>0</v>
      </c>
      <c r="N105">
        <f>_xlfn.XLOOKUP(L105,'Order Page'!X$27:X$393,'Order Page'!R$27:R$393,0)</f>
        <v>0</v>
      </c>
      <c r="O105" t="str">
        <f t="shared" si="109"/>
        <v/>
      </c>
      <c r="P105" t="str">
        <f t="shared" si="110"/>
        <v/>
      </c>
      <c r="Q105" s="263"/>
      <c r="R105">
        <v>102</v>
      </c>
      <c r="S105">
        <f t="shared" si="125"/>
        <v>1</v>
      </c>
      <c r="T105">
        <f t="shared" si="111"/>
        <v>0</v>
      </c>
      <c r="U105">
        <f>_xlfn.XLOOKUP(T105,'Order Page'!X$27:X$393,'Order Page'!U$27:U$393,"")</f>
        <v>0</v>
      </c>
      <c r="W105" t="str">
        <f t="shared" si="112"/>
        <v/>
      </c>
      <c r="X105" t="str">
        <f t="shared" si="113"/>
        <v/>
      </c>
      <c r="Y105" t="str">
        <f>_xlfn.XLOOKUP(T105,'Order Page'!X$27:X$393,'Order Page'!C$27:C$393,"")</f>
        <v>Acorus Calamus</v>
      </c>
      <c r="Z105" s="264"/>
      <c r="AA105">
        <v>102</v>
      </c>
      <c r="AB105" cm="1">
        <f t="array" ref="AB105">VLOOKUP(ROW(102:102),S$4:T$153,2)</f>
        <v>0</v>
      </c>
      <c r="AD105" t="str">
        <f t="shared" si="114"/>
        <v/>
      </c>
      <c r="AE105" t="e">
        <f t="shared" si="86"/>
        <v>#N/A</v>
      </c>
      <c r="AF105" t="str">
        <f t="shared" si="115"/>
        <v/>
      </c>
      <c r="AG105" t="str">
        <f>_xlfn.XLOOKUP(AB105,'Order Page'!X$27:X$393,'Order Page'!C$27:C$393,"")</f>
        <v>Acorus Calamus</v>
      </c>
      <c r="AH105">
        <f t="shared" si="116"/>
        <v>0</v>
      </c>
      <c r="AI105">
        <f t="shared" si="117"/>
        <v>0</v>
      </c>
      <c r="AJ105">
        <f t="shared" si="92"/>
        <v>0</v>
      </c>
      <c r="AK105">
        <f t="shared" si="87"/>
        <v>0</v>
      </c>
      <c r="AL105">
        <f>IF(OR(AD104&amp;AF104&lt;&gt;AD105&amp;AF105,AK105&lt;AK104),AK104,0)+MAX(AL$4:AL104)</f>
        <v>0</v>
      </c>
      <c r="AM105">
        <f t="shared" si="88"/>
        <v>0</v>
      </c>
      <c r="AO105" s="25" t="str">
        <f t="shared" si="89"/>
        <v/>
      </c>
      <c r="AP105" s="25" t="str">
        <f t="shared" si="118"/>
        <v/>
      </c>
      <c r="AQ105" t="str">
        <f t="shared" si="90"/>
        <v/>
      </c>
      <c r="AR105" t="str">
        <f t="shared" si="119"/>
        <v/>
      </c>
      <c r="AS105">
        <f t="shared" si="120"/>
        <v>0</v>
      </c>
      <c r="AT105">
        <f t="shared" si="91"/>
        <v>0</v>
      </c>
      <c r="AU105" t="str">
        <f>_xlfn.XLOOKUP(AB105,'Order Page'!X$24:X$378,'Order Page'!B$24:B$378,0)</f>
        <v>x6</v>
      </c>
      <c r="AV105">
        <f>_xlfn.XLOOKUP(AB105,'Order Page'!X$24:X$378,'Order Page'!O$24:O$378,0)</f>
        <v>38</v>
      </c>
      <c r="AW105" s="264"/>
    </row>
    <row r="106" spans="1:66" x14ac:dyDescent="0.25">
      <c r="A106">
        <v>7</v>
      </c>
      <c r="B106">
        <f t="shared" si="121"/>
        <v>0</v>
      </c>
      <c r="C106">
        <f t="shared" si="126"/>
        <v>0</v>
      </c>
      <c r="D106" t="e">
        <f>IF(C$89-SUM(D$100:D105)-C106&gt;=0,C106,0)</f>
        <v>#N/A</v>
      </c>
      <c r="E106" t="e">
        <f>IF(COUNTIF(E$100:E105,"&lt;0")=0,IF(AND(D$116&gt;0,D106&gt;0,D$115&gt;0),-D106,0),IF(AND(D106=0,C106&gt;0),IF(D$116-SUM(E$100:E105)-C106&gt;=0,C106,0),0))</f>
        <v>#N/A</v>
      </c>
      <c r="F106" t="e">
        <f t="shared" si="122"/>
        <v>#N/A</v>
      </c>
      <c r="G106" t="e">
        <f>IF(F106&gt;0,F106*10+COUNTIF(F$100:F106,F106),0)</f>
        <v>#N/A</v>
      </c>
      <c r="H106" t="e">
        <f t="shared" si="123"/>
        <v>#N/A</v>
      </c>
      <c r="J106">
        <f t="shared" si="124"/>
        <v>0</v>
      </c>
      <c r="L106">
        <v>103</v>
      </c>
      <c r="M106">
        <f>_xlfn.XLOOKUP(L106,'Order Page'!X$27:X$393,'Order Page'!T$27:T$393,0)</f>
        <v>0</v>
      </c>
      <c r="N106">
        <f>_xlfn.XLOOKUP(L106,'Order Page'!X$27:X$393,'Order Page'!R$27:R$393,0)</f>
        <v>0</v>
      </c>
      <c r="O106" t="str">
        <f t="shared" si="109"/>
        <v/>
      </c>
      <c r="P106" t="str">
        <f t="shared" si="110"/>
        <v/>
      </c>
      <c r="Q106" s="263"/>
      <c r="R106">
        <v>103</v>
      </c>
      <c r="S106">
        <f t="shared" si="125"/>
        <v>1</v>
      </c>
      <c r="T106">
        <f t="shared" si="111"/>
        <v>0</v>
      </c>
      <c r="U106">
        <f>_xlfn.XLOOKUP(T106,'Order Page'!X$27:X$393,'Order Page'!U$27:U$393,"")</f>
        <v>0</v>
      </c>
      <c r="W106" t="str">
        <f t="shared" si="112"/>
        <v/>
      </c>
      <c r="X106" t="str">
        <f t="shared" si="113"/>
        <v/>
      </c>
      <c r="Y106" t="str">
        <f>_xlfn.XLOOKUP(T106,'Order Page'!X$27:X$393,'Order Page'!C$27:C$393,"")</f>
        <v>Acorus Calamus</v>
      </c>
      <c r="Z106" s="264"/>
      <c r="AA106">
        <v>103</v>
      </c>
      <c r="AB106" cm="1">
        <f t="array" ref="AB106">VLOOKUP(ROW(103:103),S$4:T$153,2)</f>
        <v>0</v>
      </c>
      <c r="AD106" t="str">
        <f t="shared" si="114"/>
        <v/>
      </c>
      <c r="AE106" t="e">
        <f t="shared" si="86"/>
        <v>#N/A</v>
      </c>
      <c r="AF106" t="str">
        <f t="shared" si="115"/>
        <v/>
      </c>
      <c r="AG106" t="str">
        <f>_xlfn.XLOOKUP(AB106,'Order Page'!X$27:X$393,'Order Page'!C$27:C$393,"")</f>
        <v>Acorus Calamus</v>
      </c>
      <c r="AH106">
        <f t="shared" si="116"/>
        <v>0</v>
      </c>
      <c r="AI106">
        <f t="shared" si="117"/>
        <v>0</v>
      </c>
      <c r="AJ106">
        <f t="shared" si="92"/>
        <v>0</v>
      </c>
      <c r="AK106">
        <f t="shared" si="87"/>
        <v>0</v>
      </c>
      <c r="AL106">
        <f>IF(OR(AD105&amp;AF105&lt;&gt;AD106&amp;AF106,AK106&lt;AK105),AK105,0)+MAX(AL$4:AL105)</f>
        <v>0</v>
      </c>
      <c r="AM106">
        <f t="shared" si="88"/>
        <v>0</v>
      </c>
      <c r="AO106" s="25" t="str">
        <f t="shared" si="89"/>
        <v/>
      </c>
      <c r="AP106" s="25" t="str">
        <f t="shared" si="118"/>
        <v/>
      </c>
      <c r="AQ106" t="str">
        <f t="shared" si="90"/>
        <v/>
      </c>
      <c r="AR106" t="str">
        <f t="shared" si="119"/>
        <v/>
      </c>
      <c r="AS106">
        <f t="shared" si="120"/>
        <v>0</v>
      </c>
      <c r="AT106">
        <f t="shared" si="91"/>
        <v>0</v>
      </c>
      <c r="AU106" t="str">
        <f>_xlfn.XLOOKUP(AB106,'Order Page'!X$24:X$378,'Order Page'!B$24:B$378,0)</f>
        <v>x6</v>
      </c>
      <c r="AV106">
        <f>_xlfn.XLOOKUP(AB106,'Order Page'!X$24:X$378,'Order Page'!O$24:O$378,0)</f>
        <v>38</v>
      </c>
      <c r="AW106" s="264"/>
    </row>
    <row r="107" spans="1:66" x14ac:dyDescent="0.25">
      <c r="A107">
        <v>8</v>
      </c>
      <c r="B107">
        <f t="shared" si="121"/>
        <v>0</v>
      </c>
      <c r="C107">
        <f t="shared" si="126"/>
        <v>0</v>
      </c>
      <c r="D107" t="e">
        <f>IF(C$89-SUM(D$100:D106)-C107&gt;=0,C107,0)</f>
        <v>#N/A</v>
      </c>
      <c r="E107" t="e">
        <f>IF(COUNTIF(E$100:E106,"&lt;0")=0,IF(AND(D$116&gt;0,D107&gt;0,D$115&gt;0),-D107,0),IF(AND(D107=0,C107&gt;0),IF(D$116-SUM(E$100:E106)-C107&gt;=0,C107,0),0))</f>
        <v>#N/A</v>
      </c>
      <c r="F107" t="e">
        <f t="shared" si="122"/>
        <v>#N/A</v>
      </c>
      <c r="G107" t="e">
        <f>IF(F107&gt;0,F107*10+COUNTIF(F$100:F107,F107),0)</f>
        <v>#N/A</v>
      </c>
      <c r="H107" t="e">
        <f t="shared" si="123"/>
        <v>#N/A</v>
      </c>
      <c r="J107">
        <f t="shared" si="124"/>
        <v>0</v>
      </c>
      <c r="L107">
        <v>104</v>
      </c>
      <c r="M107">
        <f>_xlfn.XLOOKUP(L107,'Order Page'!X$27:X$393,'Order Page'!T$27:T$393,0)</f>
        <v>0</v>
      </c>
      <c r="N107">
        <f>_xlfn.XLOOKUP(L107,'Order Page'!X$27:X$393,'Order Page'!R$27:R$393,0)</f>
        <v>0</v>
      </c>
      <c r="O107" t="str">
        <f t="shared" si="109"/>
        <v/>
      </c>
      <c r="P107" t="str">
        <f t="shared" si="110"/>
        <v/>
      </c>
      <c r="Q107" s="263"/>
      <c r="R107">
        <v>104</v>
      </c>
      <c r="S107">
        <f t="shared" si="125"/>
        <v>1</v>
      </c>
      <c r="T107">
        <f t="shared" si="111"/>
        <v>0</v>
      </c>
      <c r="U107">
        <f>_xlfn.XLOOKUP(T107,'Order Page'!X$27:X$393,'Order Page'!U$27:U$393,"")</f>
        <v>0</v>
      </c>
      <c r="W107" t="str">
        <f t="shared" si="112"/>
        <v/>
      </c>
      <c r="X107" t="str">
        <f t="shared" si="113"/>
        <v/>
      </c>
      <c r="Y107" t="str">
        <f>_xlfn.XLOOKUP(T107,'Order Page'!X$27:X$393,'Order Page'!C$27:C$393,"")</f>
        <v>Acorus Calamus</v>
      </c>
      <c r="Z107" s="264"/>
      <c r="AA107">
        <v>104</v>
      </c>
      <c r="AB107" cm="1">
        <f t="array" ref="AB107">VLOOKUP(ROW(104:104),S$4:T$153,2)</f>
        <v>0</v>
      </c>
      <c r="AD107" t="str">
        <f t="shared" si="114"/>
        <v/>
      </c>
      <c r="AE107" t="e">
        <f t="shared" si="86"/>
        <v>#N/A</v>
      </c>
      <c r="AF107" t="str">
        <f t="shared" si="115"/>
        <v/>
      </c>
      <c r="AG107" t="str">
        <f>_xlfn.XLOOKUP(AB107,'Order Page'!X$27:X$393,'Order Page'!C$27:C$393,"")</f>
        <v>Acorus Calamus</v>
      </c>
      <c r="AH107">
        <f t="shared" si="116"/>
        <v>0</v>
      </c>
      <c r="AI107">
        <f t="shared" si="117"/>
        <v>0</v>
      </c>
      <c r="AJ107">
        <f t="shared" si="92"/>
        <v>0</v>
      </c>
      <c r="AK107">
        <f t="shared" si="87"/>
        <v>0</v>
      </c>
      <c r="AL107">
        <f>IF(OR(AD106&amp;AF106&lt;&gt;AD107&amp;AF107,AK107&lt;AK106),AK106,0)+MAX(AL$4:AL106)</f>
        <v>0</v>
      </c>
      <c r="AM107">
        <f t="shared" si="88"/>
        <v>0</v>
      </c>
      <c r="AO107" s="25" t="str">
        <f t="shared" si="89"/>
        <v/>
      </c>
      <c r="AP107" s="25" t="str">
        <f t="shared" si="118"/>
        <v/>
      </c>
      <c r="AQ107" t="str">
        <f t="shared" si="90"/>
        <v/>
      </c>
      <c r="AR107" t="str">
        <f t="shared" si="119"/>
        <v/>
      </c>
      <c r="AS107">
        <f t="shared" si="120"/>
        <v>0</v>
      </c>
      <c r="AT107">
        <f t="shared" si="91"/>
        <v>0</v>
      </c>
      <c r="AU107" t="str">
        <f>_xlfn.XLOOKUP(AB107,'Order Page'!X$24:X$378,'Order Page'!B$24:B$378,0)</f>
        <v>x6</v>
      </c>
      <c r="AV107">
        <f>_xlfn.XLOOKUP(AB107,'Order Page'!X$24:X$378,'Order Page'!O$24:O$378,0)</f>
        <v>38</v>
      </c>
      <c r="AW107" s="264"/>
    </row>
    <row r="108" spans="1:66" x14ac:dyDescent="0.25">
      <c r="A108">
        <v>9</v>
      </c>
      <c r="B108">
        <f t="shared" si="121"/>
        <v>0</v>
      </c>
      <c r="C108">
        <f t="shared" si="126"/>
        <v>0</v>
      </c>
      <c r="D108" t="e">
        <f>IF(C$89-SUM(D$100:D107)-C108&gt;=0,C108,0)</f>
        <v>#N/A</v>
      </c>
      <c r="E108" t="e">
        <f>IF(COUNTIF(E$100:E107,"&lt;0")=0,IF(AND(D$116&gt;0,D108&gt;0,D$115&gt;0),-D108,0),IF(AND(D108=0,C108&gt;0),IF(D$116-SUM(E$100:E107)-C108&gt;=0,C108,0),0))</f>
        <v>#N/A</v>
      </c>
      <c r="F108" t="e">
        <f t="shared" si="122"/>
        <v>#N/A</v>
      </c>
      <c r="G108" t="e">
        <f>IF(F108&gt;0,F108*10+COUNTIF(F$100:F108,F108),0)</f>
        <v>#N/A</v>
      </c>
      <c r="H108" t="e">
        <f t="shared" si="123"/>
        <v>#N/A</v>
      </c>
      <c r="J108">
        <f t="shared" si="124"/>
        <v>0</v>
      </c>
      <c r="L108">
        <v>105</v>
      </c>
      <c r="M108">
        <f>_xlfn.XLOOKUP(L108,'Order Page'!X$27:X$393,'Order Page'!T$27:T$393,0)</f>
        <v>0</v>
      </c>
      <c r="N108">
        <f>_xlfn.XLOOKUP(L108,'Order Page'!X$27:X$393,'Order Page'!R$27:R$393,0)</f>
        <v>0</v>
      </c>
      <c r="O108" t="str">
        <f t="shared" si="109"/>
        <v/>
      </c>
      <c r="P108" t="str">
        <f t="shared" si="110"/>
        <v/>
      </c>
      <c r="Q108" s="263"/>
      <c r="R108">
        <v>105</v>
      </c>
      <c r="S108">
        <f t="shared" si="125"/>
        <v>1</v>
      </c>
      <c r="T108">
        <f t="shared" si="111"/>
        <v>0</v>
      </c>
      <c r="U108">
        <f>_xlfn.XLOOKUP(T108,'Order Page'!X$27:X$393,'Order Page'!U$27:U$393,"")</f>
        <v>0</v>
      </c>
      <c r="W108" t="str">
        <f t="shared" si="112"/>
        <v/>
      </c>
      <c r="X108" t="str">
        <f t="shared" si="113"/>
        <v/>
      </c>
      <c r="Y108" t="str">
        <f>_xlfn.XLOOKUP(T108,'Order Page'!X$27:X$393,'Order Page'!C$27:C$393,"")</f>
        <v>Acorus Calamus</v>
      </c>
      <c r="Z108" s="264"/>
      <c r="AA108">
        <v>105</v>
      </c>
      <c r="AB108" cm="1">
        <f t="array" ref="AB108">VLOOKUP(ROW(105:105),S$4:T$153,2)</f>
        <v>0</v>
      </c>
      <c r="AD108" t="str">
        <f t="shared" si="114"/>
        <v/>
      </c>
      <c r="AE108" t="e">
        <f t="shared" si="86"/>
        <v>#N/A</v>
      </c>
      <c r="AF108" t="str">
        <f t="shared" si="115"/>
        <v/>
      </c>
      <c r="AG108" t="str">
        <f>_xlfn.XLOOKUP(AB108,'Order Page'!X$27:X$393,'Order Page'!C$27:C$393,"")</f>
        <v>Acorus Calamus</v>
      </c>
      <c r="AH108">
        <f t="shared" si="116"/>
        <v>0</v>
      </c>
      <c r="AI108">
        <f t="shared" si="117"/>
        <v>0</v>
      </c>
      <c r="AJ108">
        <f t="shared" si="92"/>
        <v>0</v>
      </c>
      <c r="AK108">
        <f t="shared" si="87"/>
        <v>0</v>
      </c>
      <c r="AL108">
        <f>IF(OR(AD107&amp;AF107&lt;&gt;AD108&amp;AF108,AK108&lt;AK107),AK107,0)+MAX(AL$4:AL107)</f>
        <v>0</v>
      </c>
      <c r="AM108">
        <f t="shared" si="88"/>
        <v>0</v>
      </c>
      <c r="AO108" s="25" t="str">
        <f t="shared" si="89"/>
        <v/>
      </c>
      <c r="AP108" s="25" t="str">
        <f t="shared" si="118"/>
        <v/>
      </c>
      <c r="AQ108" t="str">
        <f t="shared" si="90"/>
        <v/>
      </c>
      <c r="AR108" t="str">
        <f t="shared" si="119"/>
        <v/>
      </c>
      <c r="AS108">
        <f t="shared" si="120"/>
        <v>0</v>
      </c>
      <c r="AT108">
        <f t="shared" si="91"/>
        <v>0</v>
      </c>
      <c r="AU108" t="str">
        <f>_xlfn.XLOOKUP(AB108,'Order Page'!X$24:X$378,'Order Page'!B$24:B$378,0)</f>
        <v>x6</v>
      </c>
      <c r="AV108">
        <f>_xlfn.XLOOKUP(AB108,'Order Page'!X$24:X$378,'Order Page'!O$24:O$378,0)</f>
        <v>38</v>
      </c>
      <c r="AW108" s="264"/>
    </row>
    <row r="109" spans="1:66" x14ac:dyDescent="0.25">
      <c r="A109">
        <v>10</v>
      </c>
      <c r="B109">
        <f t="shared" si="121"/>
        <v>0</v>
      </c>
      <c r="C109">
        <f t="shared" si="126"/>
        <v>0</v>
      </c>
      <c r="D109" t="e">
        <f>IF(C$89-SUM(D$100:D108)-C109&gt;=0,C109,0)</f>
        <v>#N/A</v>
      </c>
      <c r="E109" t="e">
        <f>IF(COUNTIF(E$100:E108,"&lt;0")=0,IF(AND(D$116&gt;0,D109&gt;0,D$115&gt;0),-D109,0),IF(AND(D109=0,C109&gt;0),IF(D$116-SUM(E$100:E108)-C109&gt;=0,C109,0),0))</f>
        <v>#N/A</v>
      </c>
      <c r="F109" t="e">
        <f t="shared" si="122"/>
        <v>#N/A</v>
      </c>
      <c r="G109" t="e">
        <f>IF(F109&gt;0,F109*10+COUNTIF(F$100:F109,F109),0)</f>
        <v>#N/A</v>
      </c>
      <c r="H109" t="e">
        <f t="shared" si="123"/>
        <v>#N/A</v>
      </c>
      <c r="J109">
        <f t="shared" si="124"/>
        <v>0</v>
      </c>
      <c r="L109">
        <v>106</v>
      </c>
      <c r="M109">
        <f>_xlfn.XLOOKUP(L109,'Order Page'!X$27:X$393,'Order Page'!T$27:T$393,0)</f>
        <v>0</v>
      </c>
      <c r="N109">
        <f>_xlfn.XLOOKUP(L109,'Order Page'!X$27:X$393,'Order Page'!R$27:R$393,0)</f>
        <v>0</v>
      </c>
      <c r="O109" t="str">
        <f t="shared" si="109"/>
        <v/>
      </c>
      <c r="P109" t="str">
        <f t="shared" si="110"/>
        <v/>
      </c>
      <c r="Q109" s="263"/>
      <c r="R109">
        <v>106</v>
      </c>
      <c r="S109">
        <f t="shared" si="125"/>
        <v>1</v>
      </c>
      <c r="T109">
        <f t="shared" si="111"/>
        <v>0</v>
      </c>
      <c r="U109">
        <f>_xlfn.XLOOKUP(T109,'Order Page'!X$27:X$393,'Order Page'!U$27:U$393,"")</f>
        <v>0</v>
      </c>
      <c r="W109" t="str">
        <f t="shared" si="112"/>
        <v/>
      </c>
      <c r="X109" t="str">
        <f t="shared" si="113"/>
        <v/>
      </c>
      <c r="Y109" t="str">
        <f>_xlfn.XLOOKUP(T109,'Order Page'!X$27:X$393,'Order Page'!C$27:C$393,"")</f>
        <v>Acorus Calamus</v>
      </c>
      <c r="Z109" s="264"/>
      <c r="AA109">
        <v>106</v>
      </c>
      <c r="AB109" cm="1">
        <f t="array" ref="AB109">VLOOKUP(ROW(106:106),S$4:T$153,2)</f>
        <v>0</v>
      </c>
      <c r="AD109" t="str">
        <f t="shared" si="114"/>
        <v/>
      </c>
      <c r="AE109" t="e">
        <f t="shared" si="86"/>
        <v>#N/A</v>
      </c>
      <c r="AF109" t="str">
        <f t="shared" si="115"/>
        <v/>
      </c>
      <c r="AG109" t="str">
        <f>_xlfn.XLOOKUP(AB109,'Order Page'!X$27:X$393,'Order Page'!C$27:C$393,"")</f>
        <v>Acorus Calamus</v>
      </c>
      <c r="AH109">
        <f t="shared" si="116"/>
        <v>0</v>
      </c>
      <c r="AI109">
        <f t="shared" si="117"/>
        <v>0</v>
      </c>
      <c r="AJ109">
        <f t="shared" si="92"/>
        <v>0</v>
      </c>
      <c r="AK109">
        <f t="shared" si="87"/>
        <v>0</v>
      </c>
      <c r="AL109">
        <f>IF(OR(AD108&amp;AF108&lt;&gt;AD109&amp;AF109,AK109&lt;AK108),AK108,0)+MAX(AL$4:AL108)</f>
        <v>0</v>
      </c>
      <c r="AM109">
        <f t="shared" si="88"/>
        <v>0</v>
      </c>
      <c r="AO109" s="25" t="str">
        <f t="shared" si="89"/>
        <v/>
      </c>
      <c r="AP109" s="25" t="str">
        <f t="shared" si="118"/>
        <v/>
      </c>
      <c r="AQ109" t="str">
        <f t="shared" si="90"/>
        <v/>
      </c>
      <c r="AR109" t="str">
        <f t="shared" si="119"/>
        <v/>
      </c>
      <c r="AS109">
        <f t="shared" si="120"/>
        <v>0</v>
      </c>
      <c r="AT109">
        <f t="shared" si="91"/>
        <v>0</v>
      </c>
      <c r="AU109" t="str">
        <f>_xlfn.XLOOKUP(AB109,'Order Page'!X$24:X$378,'Order Page'!B$24:B$378,0)</f>
        <v>x6</v>
      </c>
      <c r="AV109">
        <f>_xlfn.XLOOKUP(AB109,'Order Page'!X$24:X$378,'Order Page'!O$24:O$378,0)</f>
        <v>38</v>
      </c>
      <c r="AW109" s="264"/>
    </row>
    <row r="110" spans="1:66" x14ac:dyDescent="0.25">
      <c r="A110">
        <v>11</v>
      </c>
      <c r="B110">
        <f t="shared" si="121"/>
        <v>0</v>
      </c>
      <c r="C110">
        <f t="shared" si="126"/>
        <v>0</v>
      </c>
      <c r="D110" t="e">
        <f>IF(C$89-SUM(D$100:D109)-C110&gt;=0,C110,0)</f>
        <v>#N/A</v>
      </c>
      <c r="E110" t="e">
        <f>IF(COUNTIF(E$100:E109,"&lt;0")=0,IF(AND(D$116&gt;0,D110&gt;0,D$115&gt;0),-D110,0),IF(AND(D110=0,C110&gt;0),IF(D$116-SUM(E$100:E109)-C110&gt;=0,C110,0),0))</f>
        <v>#N/A</v>
      </c>
      <c r="F110" t="e">
        <f t="shared" si="122"/>
        <v>#N/A</v>
      </c>
      <c r="G110" t="e">
        <f>IF(F110&gt;0,F110*10+COUNTIF(F$100:F110,F110),0)</f>
        <v>#N/A</v>
      </c>
      <c r="H110" t="e">
        <f t="shared" si="123"/>
        <v>#N/A</v>
      </c>
      <c r="J110">
        <f t="shared" si="124"/>
        <v>0</v>
      </c>
      <c r="L110">
        <v>107</v>
      </c>
      <c r="M110">
        <f>_xlfn.XLOOKUP(L110,'Order Page'!X$27:X$393,'Order Page'!T$27:T$393,0)</f>
        <v>0</v>
      </c>
      <c r="N110">
        <f>_xlfn.XLOOKUP(L110,'Order Page'!X$27:X$393,'Order Page'!R$27:R$393,0)</f>
        <v>0</v>
      </c>
      <c r="O110" t="str">
        <f t="shared" si="109"/>
        <v/>
      </c>
      <c r="P110" t="str">
        <f t="shared" si="110"/>
        <v/>
      </c>
      <c r="Q110" s="263"/>
      <c r="R110">
        <v>107</v>
      </c>
      <c r="S110">
        <f t="shared" si="125"/>
        <v>1</v>
      </c>
      <c r="T110">
        <f t="shared" si="111"/>
        <v>0</v>
      </c>
      <c r="U110">
        <f>_xlfn.XLOOKUP(T110,'Order Page'!X$27:X$393,'Order Page'!U$27:U$393,"")</f>
        <v>0</v>
      </c>
      <c r="W110" t="str">
        <f t="shared" si="112"/>
        <v/>
      </c>
      <c r="X110" t="str">
        <f t="shared" si="113"/>
        <v/>
      </c>
      <c r="Y110" t="str">
        <f>_xlfn.XLOOKUP(T110,'Order Page'!X$27:X$393,'Order Page'!C$27:C$393,"")</f>
        <v>Acorus Calamus</v>
      </c>
      <c r="Z110" s="264"/>
      <c r="AA110">
        <v>107</v>
      </c>
      <c r="AB110" cm="1">
        <f t="array" ref="AB110">VLOOKUP(ROW(107:107),S$4:T$153,2)</f>
        <v>0</v>
      </c>
      <c r="AD110" t="str">
        <f t="shared" si="114"/>
        <v/>
      </c>
      <c r="AE110" t="e">
        <f t="shared" si="86"/>
        <v>#N/A</v>
      </c>
      <c r="AF110" t="str">
        <f t="shared" si="115"/>
        <v/>
      </c>
      <c r="AG110" t="str">
        <f>_xlfn.XLOOKUP(AB110,'Order Page'!X$27:X$393,'Order Page'!C$27:C$393,"")</f>
        <v>Acorus Calamus</v>
      </c>
      <c r="AH110">
        <f t="shared" si="116"/>
        <v>0</v>
      </c>
      <c r="AI110">
        <f t="shared" si="117"/>
        <v>0</v>
      </c>
      <c r="AJ110">
        <f t="shared" si="92"/>
        <v>0</v>
      </c>
      <c r="AK110">
        <f t="shared" si="87"/>
        <v>0</v>
      </c>
      <c r="AL110">
        <f>IF(OR(AD109&amp;AF109&lt;&gt;AD110&amp;AF110,AK110&lt;AK109),AK109,0)+MAX(AL$4:AL109)</f>
        <v>0</v>
      </c>
      <c r="AM110">
        <f t="shared" si="88"/>
        <v>0</v>
      </c>
      <c r="AO110" s="25" t="str">
        <f t="shared" si="89"/>
        <v/>
      </c>
      <c r="AP110" s="25" t="str">
        <f t="shared" si="118"/>
        <v/>
      </c>
      <c r="AQ110" t="str">
        <f t="shared" si="90"/>
        <v/>
      </c>
      <c r="AR110" t="str">
        <f t="shared" si="119"/>
        <v/>
      </c>
      <c r="AS110">
        <f t="shared" si="120"/>
        <v>0</v>
      </c>
      <c r="AT110">
        <f t="shared" si="91"/>
        <v>0</v>
      </c>
      <c r="AU110" t="str">
        <f>_xlfn.XLOOKUP(AB110,'Order Page'!X$24:X$378,'Order Page'!B$24:B$378,0)</f>
        <v>x6</v>
      </c>
      <c r="AV110">
        <f>_xlfn.XLOOKUP(AB110,'Order Page'!X$24:X$378,'Order Page'!O$24:O$378,0)</f>
        <v>38</v>
      </c>
      <c r="AW110" s="264"/>
    </row>
    <row r="111" spans="1:66" x14ac:dyDescent="0.25">
      <c r="A111">
        <v>12</v>
      </c>
      <c r="B111">
        <f t="shared" si="121"/>
        <v>0</v>
      </c>
      <c r="C111">
        <f t="shared" si="126"/>
        <v>0</v>
      </c>
      <c r="D111" t="e">
        <f>IF(C$89-SUM(D$100:D110)-C111&gt;=0,C111,0)</f>
        <v>#N/A</v>
      </c>
      <c r="E111" t="e">
        <f>IF(COUNTIF(E$100:E110,"&lt;0")=0,IF(AND(D$116&gt;0,D111&gt;0,D$115&gt;0),-D111,0),IF(AND(D111=0,C111&gt;0),IF(D$116-SUM(E$100:E110)-C111&gt;=0,C111,0),0))</f>
        <v>#N/A</v>
      </c>
      <c r="F111" t="e">
        <f t="shared" si="122"/>
        <v>#N/A</v>
      </c>
      <c r="G111" t="e">
        <f>IF(F111&gt;0,F111*10+COUNTIF(F$100:F111,F111),0)</f>
        <v>#N/A</v>
      </c>
      <c r="H111" t="e">
        <f t="shared" si="123"/>
        <v>#N/A</v>
      </c>
      <c r="J111">
        <f t="shared" si="124"/>
        <v>0</v>
      </c>
      <c r="L111">
        <v>108</v>
      </c>
      <c r="M111">
        <f>_xlfn.XLOOKUP(L111,'Order Page'!X$27:X$393,'Order Page'!T$27:T$393,0)</f>
        <v>0</v>
      </c>
      <c r="N111">
        <f>_xlfn.XLOOKUP(L111,'Order Page'!X$27:X$393,'Order Page'!R$27:R$393,0)</f>
        <v>0</v>
      </c>
      <c r="O111" t="str">
        <f t="shared" si="109"/>
        <v/>
      </c>
      <c r="P111" t="str">
        <f t="shared" si="110"/>
        <v/>
      </c>
      <c r="Q111" s="263"/>
      <c r="R111">
        <v>108</v>
      </c>
      <c r="S111">
        <f t="shared" si="125"/>
        <v>1</v>
      </c>
      <c r="T111">
        <f t="shared" si="111"/>
        <v>0</v>
      </c>
      <c r="U111">
        <f>_xlfn.XLOOKUP(T111,'Order Page'!X$27:X$393,'Order Page'!U$27:U$393,"")</f>
        <v>0</v>
      </c>
      <c r="W111" t="str">
        <f t="shared" si="112"/>
        <v/>
      </c>
      <c r="X111" t="str">
        <f t="shared" si="113"/>
        <v/>
      </c>
      <c r="Y111" t="str">
        <f>_xlfn.XLOOKUP(T111,'Order Page'!X$27:X$393,'Order Page'!C$27:C$393,"")</f>
        <v>Acorus Calamus</v>
      </c>
      <c r="Z111" s="264"/>
      <c r="AA111">
        <v>108</v>
      </c>
      <c r="AB111" cm="1">
        <f t="array" ref="AB111">VLOOKUP(ROW(108:108),S$4:T$153,2)</f>
        <v>0</v>
      </c>
      <c r="AD111" t="str">
        <f t="shared" si="114"/>
        <v/>
      </c>
      <c r="AE111" t="e">
        <f t="shared" si="86"/>
        <v>#N/A</v>
      </c>
      <c r="AF111" t="str">
        <f t="shared" si="115"/>
        <v/>
      </c>
      <c r="AG111" t="str">
        <f>_xlfn.XLOOKUP(AB111,'Order Page'!X$27:X$393,'Order Page'!C$27:C$393,"")</f>
        <v>Acorus Calamus</v>
      </c>
      <c r="AH111">
        <f t="shared" si="116"/>
        <v>0</v>
      </c>
      <c r="AI111">
        <f t="shared" si="117"/>
        <v>0</v>
      </c>
      <c r="AJ111">
        <f t="shared" si="92"/>
        <v>0</v>
      </c>
      <c r="AK111">
        <f t="shared" si="87"/>
        <v>0</v>
      </c>
      <c r="AL111">
        <f>IF(OR(AD110&amp;AF110&lt;&gt;AD111&amp;AF111,AK111&lt;AK110),AK110,0)+MAX(AL$4:AL110)</f>
        <v>0</v>
      </c>
      <c r="AM111">
        <f t="shared" si="88"/>
        <v>0</v>
      </c>
      <c r="AO111" s="25" t="str">
        <f t="shared" si="89"/>
        <v/>
      </c>
      <c r="AP111" s="25" t="str">
        <f t="shared" si="118"/>
        <v/>
      </c>
      <c r="AQ111" t="str">
        <f t="shared" si="90"/>
        <v/>
      </c>
      <c r="AR111" t="str">
        <f t="shared" si="119"/>
        <v/>
      </c>
      <c r="AS111">
        <f t="shared" si="120"/>
        <v>0</v>
      </c>
      <c r="AT111">
        <f t="shared" si="91"/>
        <v>0</v>
      </c>
      <c r="AU111" t="str">
        <f>_xlfn.XLOOKUP(AB111,'Order Page'!X$24:X$378,'Order Page'!B$24:B$378,0)</f>
        <v>x6</v>
      </c>
      <c r="AV111">
        <f>_xlfn.XLOOKUP(AB111,'Order Page'!X$24:X$378,'Order Page'!O$24:O$378,0)</f>
        <v>38</v>
      </c>
      <c r="AW111" s="264"/>
    </row>
    <row r="112" spans="1:66" x14ac:dyDescent="0.25">
      <c r="A112">
        <v>13</v>
      </c>
      <c r="B112">
        <f t="shared" si="121"/>
        <v>0</v>
      </c>
      <c r="C112">
        <f t="shared" si="126"/>
        <v>0</v>
      </c>
      <c r="D112" t="e">
        <f>IF(C$89-SUM(D$100:D111)-C112&gt;=0,C112,0)</f>
        <v>#N/A</v>
      </c>
      <c r="E112" t="e">
        <f>IF(COUNTIF(E$100:E111,"&lt;0")=0,IF(AND(D$116&gt;0,D112&gt;0,D$115&gt;0),-D112,0),IF(AND(D112=0,C112&gt;0),IF(D$116-SUM(E$100:E111)-C112&gt;=0,C112,0),0))</f>
        <v>#N/A</v>
      </c>
      <c r="F112" t="e">
        <f t="shared" si="122"/>
        <v>#N/A</v>
      </c>
      <c r="G112" t="e">
        <f>IF(F112&gt;0,F112*10+COUNTIF(F$100:F112,F112),0)</f>
        <v>#N/A</v>
      </c>
      <c r="H112" t="e">
        <f t="shared" si="123"/>
        <v>#N/A</v>
      </c>
      <c r="J112">
        <f t="shared" si="124"/>
        <v>0</v>
      </c>
      <c r="L112">
        <v>109</v>
      </c>
      <c r="M112">
        <f>_xlfn.XLOOKUP(L112,'Order Page'!X$27:X$393,'Order Page'!T$27:T$393,0)</f>
        <v>0</v>
      </c>
      <c r="N112">
        <f>_xlfn.XLOOKUP(L112,'Order Page'!X$27:X$393,'Order Page'!R$27:R$393,0)</f>
        <v>0</v>
      </c>
      <c r="O112" t="str">
        <f t="shared" si="109"/>
        <v/>
      </c>
      <c r="P112" t="str">
        <f t="shared" si="110"/>
        <v/>
      </c>
      <c r="Q112" s="263"/>
      <c r="R112">
        <v>109</v>
      </c>
      <c r="S112">
        <f t="shared" si="125"/>
        <v>1</v>
      </c>
      <c r="T112">
        <f t="shared" si="111"/>
        <v>0</v>
      </c>
      <c r="U112">
        <f>_xlfn.XLOOKUP(T112,'Order Page'!X$27:X$393,'Order Page'!U$27:U$393,"")</f>
        <v>0</v>
      </c>
      <c r="W112" t="str">
        <f t="shared" si="112"/>
        <v/>
      </c>
      <c r="X112" t="str">
        <f t="shared" si="113"/>
        <v/>
      </c>
      <c r="Y112" t="str">
        <f>_xlfn.XLOOKUP(T112,'Order Page'!X$27:X$393,'Order Page'!C$27:C$393,"")</f>
        <v>Acorus Calamus</v>
      </c>
      <c r="Z112" s="264"/>
      <c r="AA112">
        <v>109</v>
      </c>
      <c r="AB112" cm="1">
        <f t="array" ref="AB112">VLOOKUP(ROW(109:109),S$4:T$153,2)</f>
        <v>0</v>
      </c>
      <c r="AD112" t="str">
        <f t="shared" si="114"/>
        <v/>
      </c>
      <c r="AE112" t="e">
        <f t="shared" si="86"/>
        <v>#N/A</v>
      </c>
      <c r="AF112" t="str">
        <f t="shared" si="115"/>
        <v/>
      </c>
      <c r="AG112" t="str">
        <f>_xlfn.XLOOKUP(AB112,'Order Page'!X$27:X$393,'Order Page'!C$27:C$393,"")</f>
        <v>Acorus Calamus</v>
      </c>
      <c r="AH112">
        <f t="shared" si="116"/>
        <v>0</v>
      </c>
      <c r="AI112">
        <f t="shared" si="117"/>
        <v>0</v>
      </c>
      <c r="AJ112">
        <f t="shared" si="92"/>
        <v>0</v>
      </c>
      <c r="AK112">
        <f t="shared" si="87"/>
        <v>0</v>
      </c>
      <c r="AL112">
        <f>IF(OR(AD111&amp;AF111&lt;&gt;AD112&amp;AF112,AK112&lt;AK111),AK111,0)+MAX(AL$4:AL111)</f>
        <v>0</v>
      </c>
      <c r="AM112">
        <f t="shared" si="88"/>
        <v>0</v>
      </c>
      <c r="AO112" s="25" t="str">
        <f t="shared" si="89"/>
        <v/>
      </c>
      <c r="AP112" s="25" t="str">
        <f t="shared" si="118"/>
        <v/>
      </c>
      <c r="AQ112" t="str">
        <f t="shared" si="90"/>
        <v/>
      </c>
      <c r="AR112" t="str">
        <f t="shared" si="119"/>
        <v/>
      </c>
      <c r="AS112">
        <f t="shared" si="120"/>
        <v>0</v>
      </c>
      <c r="AT112">
        <f t="shared" si="91"/>
        <v>0</v>
      </c>
      <c r="AU112" t="str">
        <f>_xlfn.XLOOKUP(AB112,'Order Page'!X$24:X$378,'Order Page'!B$24:B$378,0)</f>
        <v>x6</v>
      </c>
      <c r="AV112">
        <f>_xlfn.XLOOKUP(AB112,'Order Page'!X$24:X$378,'Order Page'!O$24:O$378,0)</f>
        <v>38</v>
      </c>
      <c r="AW112" s="264"/>
    </row>
    <row r="113" spans="1:49" x14ac:dyDescent="0.25">
      <c r="A113">
        <v>14</v>
      </c>
      <c r="B113">
        <f t="shared" si="121"/>
        <v>0</v>
      </c>
      <c r="C113">
        <f t="shared" si="126"/>
        <v>0</v>
      </c>
      <c r="D113" t="e">
        <f>IF(C$89-SUM(D$100:D112)-C113&gt;=0,C113,0)</f>
        <v>#N/A</v>
      </c>
      <c r="E113" t="e">
        <f>IF(COUNTIF(E$100:E112,"&lt;0")=0,IF(AND(D$116&gt;0,D113&gt;0,D$115&gt;0),-D113,0),IF(AND(D113=0,C113&gt;0),IF(D$116-SUM(E$100:E112)-C113&gt;=0,C113,0),0))</f>
        <v>#N/A</v>
      </c>
      <c r="F113" t="e">
        <f t="shared" si="122"/>
        <v>#N/A</v>
      </c>
      <c r="G113" t="e">
        <f>IF(F113&gt;0,F113*10+COUNTIF(F$100:F113,F113),0)</f>
        <v>#N/A</v>
      </c>
      <c r="H113" t="e">
        <f t="shared" si="123"/>
        <v>#N/A</v>
      </c>
      <c r="J113">
        <f t="shared" si="124"/>
        <v>0</v>
      </c>
      <c r="L113">
        <v>110</v>
      </c>
      <c r="M113">
        <f>_xlfn.XLOOKUP(L113,'Order Page'!X$27:X$393,'Order Page'!T$27:T$393,0)</f>
        <v>0</v>
      </c>
      <c r="N113">
        <f>_xlfn.XLOOKUP(L113,'Order Page'!X$27:X$393,'Order Page'!R$27:R$393,0)</f>
        <v>0</v>
      </c>
      <c r="O113" t="str">
        <f t="shared" si="109"/>
        <v/>
      </c>
      <c r="P113" t="str">
        <f t="shared" si="110"/>
        <v/>
      </c>
      <c r="Q113" s="263"/>
      <c r="R113">
        <v>110</v>
      </c>
      <c r="S113">
        <f t="shared" si="125"/>
        <v>1</v>
      </c>
      <c r="T113">
        <f t="shared" si="111"/>
        <v>0</v>
      </c>
      <c r="U113">
        <f>_xlfn.XLOOKUP(T113,'Order Page'!X$27:X$393,'Order Page'!U$27:U$393,"")</f>
        <v>0</v>
      </c>
      <c r="W113" t="str">
        <f t="shared" si="112"/>
        <v/>
      </c>
      <c r="X113" t="str">
        <f t="shared" si="113"/>
        <v/>
      </c>
      <c r="Y113" t="str">
        <f>_xlfn.XLOOKUP(T113,'Order Page'!X$27:X$393,'Order Page'!C$27:C$393,"")</f>
        <v>Acorus Calamus</v>
      </c>
      <c r="Z113" s="264"/>
      <c r="AA113">
        <v>110</v>
      </c>
      <c r="AB113" cm="1">
        <f t="array" ref="AB113">VLOOKUP(ROW(110:110),S$4:T$153,2)</f>
        <v>0</v>
      </c>
      <c r="AD113" t="str">
        <f t="shared" si="114"/>
        <v/>
      </c>
      <c r="AE113" t="e">
        <f t="shared" si="86"/>
        <v>#N/A</v>
      </c>
      <c r="AF113" t="str">
        <f t="shared" si="115"/>
        <v/>
      </c>
      <c r="AG113" t="str">
        <f>_xlfn.XLOOKUP(AB113,'Order Page'!X$27:X$393,'Order Page'!C$27:C$393,"")</f>
        <v>Acorus Calamus</v>
      </c>
      <c r="AH113">
        <f t="shared" si="116"/>
        <v>0</v>
      </c>
      <c r="AI113">
        <f t="shared" si="117"/>
        <v>0</v>
      </c>
      <c r="AJ113">
        <f t="shared" si="92"/>
        <v>0</v>
      </c>
      <c r="AK113">
        <f t="shared" si="87"/>
        <v>0</v>
      </c>
      <c r="AL113">
        <f>IF(OR(AD112&amp;AF112&lt;&gt;AD113&amp;AF113,AK113&lt;AK112),AK112,0)+MAX(AL$4:AL112)</f>
        <v>0</v>
      </c>
      <c r="AM113">
        <f t="shared" si="88"/>
        <v>0</v>
      </c>
      <c r="AO113" s="25" t="str">
        <f t="shared" si="89"/>
        <v/>
      </c>
      <c r="AP113" s="25" t="str">
        <f t="shared" si="118"/>
        <v/>
      </c>
      <c r="AQ113" t="str">
        <f t="shared" si="90"/>
        <v/>
      </c>
      <c r="AR113" t="str">
        <f t="shared" si="119"/>
        <v/>
      </c>
      <c r="AS113">
        <f t="shared" si="120"/>
        <v>0</v>
      </c>
      <c r="AT113">
        <f t="shared" si="91"/>
        <v>0</v>
      </c>
      <c r="AU113" t="str">
        <f>_xlfn.XLOOKUP(AB113,'Order Page'!X$24:X$378,'Order Page'!B$24:B$378,0)</f>
        <v>x6</v>
      </c>
      <c r="AV113">
        <f>_xlfn.XLOOKUP(AB113,'Order Page'!X$24:X$378,'Order Page'!O$24:O$378,0)</f>
        <v>38</v>
      </c>
      <c r="AW113" s="264"/>
    </row>
    <row r="114" spans="1:49" x14ac:dyDescent="0.25">
      <c r="A114">
        <v>15</v>
      </c>
      <c r="B114">
        <f t="shared" si="121"/>
        <v>0</v>
      </c>
      <c r="C114">
        <f>IF(B114&gt;0,B114,IF(A114&lt;=C$90,C115,0))</f>
        <v>0</v>
      </c>
      <c r="D114" t="e">
        <f>IF(C$89-SUM(D$100:D113)-C114&gt;=0,C114,0)</f>
        <v>#N/A</v>
      </c>
      <c r="E114" t="e">
        <f>IF(COUNTIF(E$100:E113,"&lt;0")=0,IF(AND(D$116&gt;0,D114&gt;0,D$115&gt;0),-D114,0),IF(AND(D114=0,C114&gt;0),IF(D$116-SUM(E$100:E113)-C114&gt;=0,C114,0),0))</f>
        <v>#N/A</v>
      </c>
      <c r="F114" t="e">
        <f t="shared" si="122"/>
        <v>#N/A</v>
      </c>
      <c r="G114" t="e">
        <f>IF(F114&gt;0,F114*10+COUNTIF(F$100:F114,F114),0)</f>
        <v>#N/A</v>
      </c>
      <c r="H114" t="e">
        <f t="shared" si="123"/>
        <v>#N/A</v>
      </c>
      <c r="J114">
        <f t="shared" si="124"/>
        <v>0</v>
      </c>
      <c r="L114">
        <v>111</v>
      </c>
      <c r="M114">
        <f>_xlfn.XLOOKUP(L114,'Order Page'!X$27:X$393,'Order Page'!T$27:T$393,0)</f>
        <v>0</v>
      </c>
      <c r="N114">
        <f>_xlfn.XLOOKUP(L114,'Order Page'!X$27:X$393,'Order Page'!R$27:R$393,0)</f>
        <v>0</v>
      </c>
      <c r="O114" t="str">
        <f t="shared" si="109"/>
        <v/>
      </c>
      <c r="P114" t="str">
        <f t="shared" si="110"/>
        <v/>
      </c>
      <c r="Q114" s="263"/>
      <c r="R114">
        <v>111</v>
      </c>
      <c r="S114">
        <f t="shared" si="125"/>
        <v>1</v>
      </c>
      <c r="T114">
        <f t="shared" si="111"/>
        <v>0</v>
      </c>
      <c r="U114">
        <f>_xlfn.XLOOKUP(T114,'Order Page'!X$27:X$393,'Order Page'!U$27:U$393,"")</f>
        <v>0</v>
      </c>
      <c r="W114" t="str">
        <f t="shared" si="112"/>
        <v/>
      </c>
      <c r="X114" t="str">
        <f t="shared" si="113"/>
        <v/>
      </c>
      <c r="Y114" t="str">
        <f>_xlfn.XLOOKUP(T114,'Order Page'!X$27:X$393,'Order Page'!C$27:C$393,"")</f>
        <v>Acorus Calamus</v>
      </c>
      <c r="Z114" s="264"/>
      <c r="AA114">
        <v>111</v>
      </c>
      <c r="AB114" cm="1">
        <f t="array" ref="AB114">VLOOKUP(ROW(111:111),S$4:T$153,2)</f>
        <v>0</v>
      </c>
      <c r="AD114" t="str">
        <f t="shared" si="114"/>
        <v/>
      </c>
      <c r="AE114" t="e">
        <f t="shared" si="86"/>
        <v>#N/A</v>
      </c>
      <c r="AF114" t="str">
        <f t="shared" si="115"/>
        <v/>
      </c>
      <c r="AG114" t="str">
        <f>_xlfn.XLOOKUP(AB114,'Order Page'!X$27:X$393,'Order Page'!C$27:C$393,"")</f>
        <v>Acorus Calamus</v>
      </c>
      <c r="AH114">
        <f t="shared" si="116"/>
        <v>0</v>
      </c>
      <c r="AI114">
        <f t="shared" si="117"/>
        <v>0</v>
      </c>
      <c r="AJ114">
        <f t="shared" si="92"/>
        <v>0</v>
      </c>
      <c r="AK114">
        <f t="shared" si="87"/>
        <v>0</v>
      </c>
      <c r="AL114">
        <f>IF(OR(AD113&amp;AF113&lt;&gt;AD114&amp;AF114,AK114&lt;AK113),AK113,0)+MAX(AL$4:AL113)</f>
        <v>0</v>
      </c>
      <c r="AM114">
        <f t="shared" si="88"/>
        <v>0</v>
      </c>
      <c r="AO114" s="25" t="str">
        <f t="shared" si="89"/>
        <v/>
      </c>
      <c r="AP114" s="25" t="str">
        <f t="shared" si="118"/>
        <v/>
      </c>
      <c r="AQ114" t="str">
        <f t="shared" si="90"/>
        <v/>
      </c>
      <c r="AR114" t="str">
        <f t="shared" si="119"/>
        <v/>
      </c>
      <c r="AS114">
        <f t="shared" si="120"/>
        <v>0</v>
      </c>
      <c r="AT114">
        <f t="shared" si="91"/>
        <v>0</v>
      </c>
      <c r="AU114" t="str">
        <f>_xlfn.XLOOKUP(AB114,'Order Page'!X$24:X$378,'Order Page'!B$24:B$378,0)</f>
        <v>x6</v>
      </c>
      <c r="AV114">
        <f>_xlfn.XLOOKUP(AB114,'Order Page'!X$24:X$378,'Order Page'!O$24:O$378,0)</f>
        <v>38</v>
      </c>
      <c r="AW114" s="264"/>
    </row>
    <row r="115" spans="1:49" x14ac:dyDescent="0.25">
      <c r="D115">
        <f>C98-COUNTIF(D100:D114,"&gt;"&amp;0)</f>
        <v>0</v>
      </c>
      <c r="L115">
        <v>112</v>
      </c>
      <c r="M115">
        <f>_xlfn.XLOOKUP(L115,'Order Page'!X$27:X$393,'Order Page'!T$27:T$393,0)</f>
        <v>0</v>
      </c>
      <c r="N115">
        <f>_xlfn.XLOOKUP(L115,'Order Page'!X$27:X$393,'Order Page'!R$27:R$393,0)</f>
        <v>0</v>
      </c>
      <c r="O115" t="str">
        <f t="shared" si="109"/>
        <v/>
      </c>
      <c r="P115" t="str">
        <f t="shared" si="110"/>
        <v/>
      </c>
      <c r="Q115" s="263"/>
      <c r="R115">
        <v>112</v>
      </c>
      <c r="S115">
        <f t="shared" si="125"/>
        <v>1</v>
      </c>
      <c r="T115">
        <f t="shared" si="111"/>
        <v>0</v>
      </c>
      <c r="U115">
        <f>_xlfn.XLOOKUP(T115,'Order Page'!X$27:X$393,'Order Page'!U$27:U$393,"")</f>
        <v>0</v>
      </c>
      <c r="W115" t="str">
        <f t="shared" si="112"/>
        <v/>
      </c>
      <c r="X115" t="str">
        <f t="shared" si="113"/>
        <v/>
      </c>
      <c r="Y115" t="str">
        <f>_xlfn.XLOOKUP(T115,'Order Page'!X$27:X$393,'Order Page'!C$27:C$393,"")</f>
        <v>Acorus Calamus</v>
      </c>
      <c r="Z115" s="264"/>
      <c r="AA115">
        <v>112</v>
      </c>
      <c r="AB115" cm="1">
        <f t="array" ref="AB115">VLOOKUP(ROW(112:112),S$4:T$153,2)</f>
        <v>0</v>
      </c>
      <c r="AD115" t="str">
        <f t="shared" si="114"/>
        <v/>
      </c>
      <c r="AE115" t="e">
        <f t="shared" si="86"/>
        <v>#N/A</v>
      </c>
      <c r="AF115" t="str">
        <f t="shared" si="115"/>
        <v/>
      </c>
      <c r="AG115" t="str">
        <f>_xlfn.XLOOKUP(AB115,'Order Page'!X$27:X$393,'Order Page'!C$27:C$393,"")</f>
        <v>Acorus Calamus</v>
      </c>
      <c r="AH115">
        <f t="shared" si="116"/>
        <v>0</v>
      </c>
      <c r="AI115">
        <f t="shared" si="117"/>
        <v>0</v>
      </c>
      <c r="AJ115">
        <f t="shared" si="92"/>
        <v>0</v>
      </c>
      <c r="AK115">
        <f t="shared" si="87"/>
        <v>0</v>
      </c>
      <c r="AL115">
        <f>IF(OR(AD114&amp;AF114&lt;&gt;AD115&amp;AF115,AK115&lt;AK114),AK114,0)+MAX(AL$4:AL114)</f>
        <v>0</v>
      </c>
      <c r="AM115">
        <f t="shared" si="88"/>
        <v>0</v>
      </c>
      <c r="AO115" s="25" t="str">
        <f t="shared" si="89"/>
        <v/>
      </c>
      <c r="AP115" s="25" t="str">
        <f t="shared" si="118"/>
        <v/>
      </c>
      <c r="AQ115" t="str">
        <f t="shared" si="90"/>
        <v/>
      </c>
      <c r="AR115" t="str">
        <f t="shared" si="119"/>
        <v/>
      </c>
      <c r="AS115">
        <f t="shared" si="120"/>
        <v>0</v>
      </c>
      <c r="AT115">
        <f t="shared" si="91"/>
        <v>0</v>
      </c>
      <c r="AU115" t="str">
        <f>_xlfn.XLOOKUP(AB115,'Order Page'!X$24:X$378,'Order Page'!B$24:B$378,0)</f>
        <v>x6</v>
      </c>
      <c r="AV115">
        <f>_xlfn.XLOOKUP(AB115,'Order Page'!X$24:X$378,'Order Page'!O$24:O$378,0)</f>
        <v>38</v>
      </c>
      <c r="AW115" s="264"/>
    </row>
    <row r="116" spans="1:49" x14ac:dyDescent="0.25">
      <c r="A116" t="s">
        <v>693</v>
      </c>
      <c r="D116" t="e">
        <f>C89-SUM(D100:D114)</f>
        <v>#N/A</v>
      </c>
      <c r="E116" t="e">
        <f>D116-SUM(E100:E114)</f>
        <v>#N/A</v>
      </c>
      <c r="L116">
        <v>113</v>
      </c>
      <c r="M116">
        <f>_xlfn.XLOOKUP(L116,'Order Page'!X$27:X$393,'Order Page'!T$27:T$393,0)</f>
        <v>0</v>
      </c>
      <c r="N116">
        <f>_xlfn.XLOOKUP(L116,'Order Page'!X$27:X$393,'Order Page'!R$27:R$393,0)</f>
        <v>0</v>
      </c>
      <c r="O116" t="str">
        <f t="shared" si="109"/>
        <v/>
      </c>
      <c r="P116" t="str">
        <f t="shared" si="110"/>
        <v/>
      </c>
      <c r="Q116" s="263"/>
      <c r="R116">
        <v>113</v>
      </c>
      <c r="S116">
        <f t="shared" si="125"/>
        <v>1</v>
      </c>
      <c r="T116">
        <f t="shared" si="111"/>
        <v>0</v>
      </c>
      <c r="U116">
        <f>_xlfn.XLOOKUP(T116,'Order Page'!X$27:X$393,'Order Page'!U$27:U$393,"")</f>
        <v>0</v>
      </c>
      <c r="W116" t="str">
        <f t="shared" si="112"/>
        <v/>
      </c>
      <c r="X116" t="str">
        <f t="shared" si="113"/>
        <v/>
      </c>
      <c r="Y116" t="str">
        <f>_xlfn.XLOOKUP(T116,'Order Page'!X$27:X$393,'Order Page'!C$27:C$393,"")</f>
        <v>Acorus Calamus</v>
      </c>
      <c r="Z116" s="264"/>
      <c r="AA116">
        <v>113</v>
      </c>
      <c r="AB116" cm="1">
        <f t="array" ref="AB116">VLOOKUP(ROW(113:113),S$4:T$153,2)</f>
        <v>0</v>
      </c>
      <c r="AD116" t="str">
        <f t="shared" si="114"/>
        <v/>
      </c>
      <c r="AE116" t="e">
        <f t="shared" si="86"/>
        <v>#N/A</v>
      </c>
      <c r="AF116" t="str">
        <f t="shared" si="115"/>
        <v/>
      </c>
      <c r="AG116" t="str">
        <f>_xlfn.XLOOKUP(AB116,'Order Page'!X$27:X$393,'Order Page'!C$27:C$393,"")</f>
        <v>Acorus Calamus</v>
      </c>
      <c r="AH116">
        <f t="shared" si="116"/>
        <v>0</v>
      </c>
      <c r="AI116">
        <f t="shared" si="117"/>
        <v>0</v>
      </c>
      <c r="AJ116">
        <f t="shared" si="92"/>
        <v>0</v>
      </c>
      <c r="AK116">
        <f t="shared" si="87"/>
        <v>0</v>
      </c>
      <c r="AL116">
        <f>IF(OR(AD115&amp;AF115&lt;&gt;AD116&amp;AF116,AK116&lt;AK115),AK115,0)+MAX(AL$4:AL115)</f>
        <v>0</v>
      </c>
      <c r="AM116">
        <f t="shared" si="88"/>
        <v>0</v>
      </c>
      <c r="AO116" s="25" t="str">
        <f t="shared" si="89"/>
        <v/>
      </c>
      <c r="AP116" s="25" t="str">
        <f t="shared" si="118"/>
        <v/>
      </c>
      <c r="AQ116" t="str">
        <f t="shared" si="90"/>
        <v/>
      </c>
      <c r="AR116" t="str">
        <f t="shared" si="119"/>
        <v/>
      </c>
      <c r="AS116">
        <f t="shared" si="120"/>
        <v>0</v>
      </c>
      <c r="AT116">
        <f t="shared" si="91"/>
        <v>0</v>
      </c>
      <c r="AU116" t="str">
        <f>_xlfn.XLOOKUP(AB116,'Order Page'!X$24:X$378,'Order Page'!B$24:B$378,0)</f>
        <v>x6</v>
      </c>
      <c r="AV116">
        <f>_xlfn.XLOOKUP(AB116,'Order Page'!X$24:X$378,'Order Page'!O$24:O$378,0)</f>
        <v>38</v>
      </c>
      <c r="AW116" s="264"/>
    </row>
    <row r="117" spans="1:49" x14ac:dyDescent="0.25">
      <c r="L117">
        <v>114</v>
      </c>
      <c r="M117">
        <f>_xlfn.XLOOKUP(L117,'Order Page'!X$27:X$393,'Order Page'!T$27:T$393,0)</f>
        <v>0</v>
      </c>
      <c r="N117">
        <f>_xlfn.XLOOKUP(L117,'Order Page'!X$27:X$393,'Order Page'!R$27:R$393,0)</f>
        <v>0</v>
      </c>
      <c r="O117" t="str">
        <f t="shared" si="109"/>
        <v/>
      </c>
      <c r="P117" t="str">
        <f t="shared" si="110"/>
        <v/>
      </c>
      <c r="Q117" s="263"/>
      <c r="R117">
        <v>114</v>
      </c>
      <c r="S117">
        <f t="shared" si="125"/>
        <v>1</v>
      </c>
      <c r="T117">
        <f t="shared" si="111"/>
        <v>0</v>
      </c>
      <c r="U117">
        <f>_xlfn.XLOOKUP(T117,'Order Page'!X$27:X$393,'Order Page'!U$27:U$393,"")</f>
        <v>0</v>
      </c>
      <c r="W117" t="str">
        <f t="shared" si="112"/>
        <v/>
      </c>
      <c r="X117" t="str">
        <f t="shared" si="113"/>
        <v/>
      </c>
      <c r="Y117" t="str">
        <f>_xlfn.XLOOKUP(T117,'Order Page'!X$27:X$393,'Order Page'!C$27:C$393,"")</f>
        <v>Acorus Calamus</v>
      </c>
      <c r="Z117" s="264"/>
      <c r="AA117">
        <v>114</v>
      </c>
      <c r="AB117" cm="1">
        <f t="array" ref="AB117">VLOOKUP(ROW(114:114),S$4:T$153,2)</f>
        <v>0</v>
      </c>
      <c r="AD117" t="str">
        <f t="shared" si="114"/>
        <v/>
      </c>
      <c r="AE117" t="e">
        <f t="shared" si="86"/>
        <v>#N/A</v>
      </c>
      <c r="AF117" t="str">
        <f t="shared" si="115"/>
        <v/>
      </c>
      <c r="AG117" t="str">
        <f>_xlfn.XLOOKUP(AB117,'Order Page'!X$27:X$393,'Order Page'!C$27:C$393,"")</f>
        <v>Acorus Calamus</v>
      </c>
      <c r="AH117">
        <f t="shared" si="116"/>
        <v>0</v>
      </c>
      <c r="AI117">
        <f t="shared" si="117"/>
        <v>0</v>
      </c>
      <c r="AJ117">
        <f t="shared" si="92"/>
        <v>0</v>
      </c>
      <c r="AK117">
        <f t="shared" si="87"/>
        <v>0</v>
      </c>
      <c r="AL117">
        <f>IF(OR(AD116&amp;AF116&lt;&gt;AD117&amp;AF117,AK117&lt;AK116),AK116,0)+MAX(AL$4:AL116)</f>
        <v>0</v>
      </c>
      <c r="AM117">
        <f t="shared" si="88"/>
        <v>0</v>
      </c>
      <c r="AO117" s="25" t="str">
        <f t="shared" si="89"/>
        <v/>
      </c>
      <c r="AP117" s="25" t="str">
        <f t="shared" si="118"/>
        <v/>
      </c>
      <c r="AQ117" t="str">
        <f t="shared" si="90"/>
        <v/>
      </c>
      <c r="AR117" t="str">
        <f t="shared" si="119"/>
        <v/>
      </c>
      <c r="AS117">
        <f t="shared" si="120"/>
        <v>0</v>
      </c>
      <c r="AT117">
        <f t="shared" si="91"/>
        <v>0</v>
      </c>
      <c r="AU117" t="str">
        <f>_xlfn.XLOOKUP(AB117,'Order Page'!X$24:X$378,'Order Page'!B$24:B$378,0)</f>
        <v>x6</v>
      </c>
      <c r="AV117">
        <f>_xlfn.XLOOKUP(AB117,'Order Page'!X$24:X$378,'Order Page'!O$24:O$378,0)</f>
        <v>38</v>
      </c>
      <c r="AW117" s="264"/>
    </row>
    <row r="118" spans="1:49" x14ac:dyDescent="0.25">
      <c r="A118" s="21" t="s">
        <v>702</v>
      </c>
      <c r="E118" t="s">
        <v>699</v>
      </c>
      <c r="F118" t="s">
        <v>702</v>
      </c>
      <c r="G118" t="s">
        <v>700</v>
      </c>
      <c r="H118" t="s">
        <v>611</v>
      </c>
      <c r="L118">
        <v>115</v>
      </c>
      <c r="M118">
        <f>_xlfn.XLOOKUP(L118,'Order Page'!X$27:X$393,'Order Page'!T$27:T$393,0)</f>
        <v>0</v>
      </c>
      <c r="N118">
        <f>_xlfn.XLOOKUP(L118,'Order Page'!X$27:X$393,'Order Page'!R$27:R$393,0)</f>
        <v>0</v>
      </c>
      <c r="O118" t="str">
        <f t="shared" si="109"/>
        <v/>
      </c>
      <c r="P118" t="str">
        <f t="shared" si="110"/>
        <v/>
      </c>
      <c r="Q118" s="263"/>
      <c r="R118">
        <v>115</v>
      </c>
      <c r="S118">
        <f t="shared" si="125"/>
        <v>1</v>
      </c>
      <c r="T118">
        <f t="shared" si="111"/>
        <v>0</v>
      </c>
      <c r="U118">
        <f>_xlfn.XLOOKUP(T118,'Order Page'!X$27:X$393,'Order Page'!U$27:U$393,"")</f>
        <v>0</v>
      </c>
      <c r="W118" t="str">
        <f t="shared" si="112"/>
        <v/>
      </c>
      <c r="X118" t="str">
        <f t="shared" si="113"/>
        <v/>
      </c>
      <c r="Y118" t="str">
        <f>_xlfn.XLOOKUP(T118,'Order Page'!X$27:X$393,'Order Page'!C$27:C$393,"")</f>
        <v>Acorus Calamus</v>
      </c>
      <c r="Z118" s="264"/>
      <c r="AA118">
        <v>115</v>
      </c>
      <c r="AB118" cm="1">
        <f t="array" ref="AB118">VLOOKUP(ROW(115:115),S$4:T$153,2)</f>
        <v>0</v>
      </c>
      <c r="AD118" t="str">
        <f t="shared" si="114"/>
        <v/>
      </c>
      <c r="AE118" t="e">
        <f t="shared" si="86"/>
        <v>#N/A</v>
      </c>
      <c r="AF118" t="str">
        <f t="shared" si="115"/>
        <v/>
      </c>
      <c r="AG118" t="str">
        <f>_xlfn.XLOOKUP(AB118,'Order Page'!X$27:X$393,'Order Page'!C$27:C$393,"")</f>
        <v>Acorus Calamus</v>
      </c>
      <c r="AH118">
        <f t="shared" si="116"/>
        <v>0</v>
      </c>
      <c r="AI118">
        <f t="shared" si="117"/>
        <v>0</v>
      </c>
      <c r="AJ118">
        <f t="shared" si="92"/>
        <v>0</v>
      </c>
      <c r="AK118">
        <f t="shared" si="87"/>
        <v>0</v>
      </c>
      <c r="AL118">
        <f>IF(OR(AD117&amp;AF117&lt;&gt;AD118&amp;AF118,AK118&lt;AK117),AK117,0)+MAX(AL$4:AL117)</f>
        <v>0</v>
      </c>
      <c r="AM118">
        <f t="shared" si="88"/>
        <v>0</v>
      </c>
      <c r="AO118" s="25" t="str">
        <f t="shared" si="89"/>
        <v/>
      </c>
      <c r="AP118" s="25" t="str">
        <f t="shared" si="118"/>
        <v/>
      </c>
      <c r="AQ118" t="str">
        <f t="shared" si="90"/>
        <v/>
      </c>
      <c r="AR118" t="str">
        <f t="shared" si="119"/>
        <v/>
      </c>
      <c r="AS118">
        <f t="shared" si="120"/>
        <v>0</v>
      </c>
      <c r="AT118">
        <f t="shared" si="91"/>
        <v>0</v>
      </c>
      <c r="AU118" t="str">
        <f>_xlfn.XLOOKUP(AB118,'Order Page'!X$24:X$378,'Order Page'!B$24:B$378,0)</f>
        <v>x6</v>
      </c>
      <c r="AV118">
        <f>_xlfn.XLOOKUP(AB118,'Order Page'!X$24:X$378,'Order Page'!O$24:O$378,0)</f>
        <v>38</v>
      </c>
      <c r="AW118" s="264"/>
    </row>
    <row r="119" spans="1:49" x14ac:dyDescent="0.25">
      <c r="A119">
        <v>1</v>
      </c>
      <c r="B119" t="e">
        <f>IF(AND(H100=0,C100&gt;0),C100,0)</f>
        <v>#N/A</v>
      </c>
      <c r="D119" t="e">
        <f>IF(D$89-B119&gt;=0,B119,0)</f>
        <v>#N/A</v>
      </c>
      <c r="E119" t="e">
        <f>IF(AND(D135&gt;0,D119&gt;0,SUM(B$119:B$133)&lt;&gt;SUM(D$119:D$133),D134&gt;0),-D119,0)</f>
        <v>#N/A</v>
      </c>
      <c r="F119" t="e">
        <f>D119+E119</f>
        <v>#N/A</v>
      </c>
      <c r="G119" t="e">
        <f>IF(F119&gt;0,F119*10+COUNTIF(F$119:F119,F119)+J100,0)</f>
        <v>#N/A</v>
      </c>
      <c r="H119" t="e">
        <f>IF(G119&gt;0,_xlfn.XLOOKUP(G119,K$61:K$80,B$61:B$80,0),0)</f>
        <v>#N/A</v>
      </c>
      <c r="J119">
        <f>COUNTIF(F$100:F$133,B119)</f>
        <v>30</v>
      </c>
      <c r="L119">
        <v>116</v>
      </c>
      <c r="M119">
        <f>_xlfn.XLOOKUP(L119,'Order Page'!X$27:X$393,'Order Page'!T$27:T$393,0)</f>
        <v>0</v>
      </c>
      <c r="N119">
        <f>_xlfn.XLOOKUP(L119,'Order Page'!X$27:X$393,'Order Page'!R$27:R$393,0)</f>
        <v>0</v>
      </c>
      <c r="O119" t="str">
        <f t="shared" si="109"/>
        <v/>
      </c>
      <c r="P119" t="str">
        <f t="shared" si="110"/>
        <v/>
      </c>
      <c r="Q119" s="263"/>
      <c r="R119">
        <v>116</v>
      </c>
      <c r="S119">
        <f t="shared" si="125"/>
        <v>1</v>
      </c>
      <c r="T119">
        <f t="shared" si="111"/>
        <v>0</v>
      </c>
      <c r="U119">
        <f>_xlfn.XLOOKUP(T119,'Order Page'!X$27:X$393,'Order Page'!U$27:U$393,"")</f>
        <v>0</v>
      </c>
      <c r="W119" t="str">
        <f t="shared" si="112"/>
        <v/>
      </c>
      <c r="X119" t="str">
        <f t="shared" si="113"/>
        <v/>
      </c>
      <c r="Y119" t="str">
        <f>_xlfn.XLOOKUP(T119,'Order Page'!X$27:X$393,'Order Page'!C$27:C$393,"")</f>
        <v>Acorus Calamus</v>
      </c>
      <c r="Z119" s="264"/>
      <c r="AA119">
        <v>116</v>
      </c>
      <c r="AB119" cm="1">
        <f t="array" ref="AB119">VLOOKUP(ROW(116:116),S$4:T$153,2)</f>
        <v>0</v>
      </c>
      <c r="AD119" t="str">
        <f t="shared" si="114"/>
        <v/>
      </c>
      <c r="AE119" t="e">
        <f t="shared" si="86"/>
        <v>#N/A</v>
      </c>
      <c r="AF119" t="str">
        <f t="shared" si="115"/>
        <v/>
      </c>
      <c r="AG119" t="str">
        <f>_xlfn.XLOOKUP(AB119,'Order Page'!X$27:X$393,'Order Page'!C$27:C$393,"")</f>
        <v>Acorus Calamus</v>
      </c>
      <c r="AH119">
        <f t="shared" si="116"/>
        <v>0</v>
      </c>
      <c r="AI119">
        <f t="shared" si="117"/>
        <v>0</v>
      </c>
      <c r="AJ119">
        <f t="shared" si="92"/>
        <v>0</v>
      </c>
      <c r="AK119">
        <f t="shared" si="87"/>
        <v>0</v>
      </c>
      <c r="AL119">
        <f>IF(OR(AD118&amp;AF118&lt;&gt;AD119&amp;AF119,AK119&lt;AK118),AK118,0)+MAX(AL$4:AL118)</f>
        <v>0</v>
      </c>
      <c r="AM119">
        <f t="shared" si="88"/>
        <v>0</v>
      </c>
      <c r="AO119" s="25" t="str">
        <f t="shared" si="89"/>
        <v/>
      </c>
      <c r="AP119" s="25" t="str">
        <f t="shared" si="118"/>
        <v/>
      </c>
      <c r="AQ119" t="str">
        <f t="shared" si="90"/>
        <v/>
      </c>
      <c r="AR119" t="str">
        <f t="shared" si="119"/>
        <v/>
      </c>
      <c r="AS119">
        <f t="shared" si="120"/>
        <v>0</v>
      </c>
      <c r="AT119">
        <f t="shared" si="91"/>
        <v>0</v>
      </c>
      <c r="AU119" t="str">
        <f>_xlfn.XLOOKUP(AB119,'Order Page'!X$24:X$378,'Order Page'!B$24:B$378,0)</f>
        <v>x6</v>
      </c>
      <c r="AV119">
        <f>_xlfn.XLOOKUP(AB119,'Order Page'!X$24:X$378,'Order Page'!O$24:O$378,0)</f>
        <v>38</v>
      </c>
      <c r="AW119" s="264"/>
    </row>
    <row r="120" spans="1:49" x14ac:dyDescent="0.25">
      <c r="A120">
        <v>2</v>
      </c>
      <c r="B120" t="e">
        <f t="shared" ref="B120:B133" si="127">IF(AND(H101=0,C101&gt;0),C101,0)</f>
        <v>#N/A</v>
      </c>
      <c r="D120" t="e">
        <f>IF(D$89-SUM(D$119:D119)-B120&gt;=0,B120,0)</f>
        <v>#N/A</v>
      </c>
      <c r="E120" t="e">
        <f>IF(COUNTIF(E$119:E119,"&lt;0")=0,IF(AND(D$135&gt;0,D120&gt;0,SUM(B$119:B$133)&lt;&gt;SUM(D$119:D$133),D$134&gt;0),-D120,0),IF(AND(D120=0,B120&gt;0),IF(D$135-SUM(E$119:E119)-B120&gt;=0,B120,0),0))</f>
        <v>#N/A</v>
      </c>
      <c r="F120" t="e">
        <f t="shared" ref="F120:F133" si="128">D120+E120</f>
        <v>#N/A</v>
      </c>
      <c r="G120" t="e">
        <f>IF(F120&gt;0,F120*10+COUNTIF(F$119:F120,F120)+J101,0)</f>
        <v>#N/A</v>
      </c>
      <c r="H120" t="e">
        <f>IF(G120&gt;0,_xlfn.XLOOKUP(G120,K$61:K$80,B$61:B$80,0),0)</f>
        <v>#N/A</v>
      </c>
      <c r="J120">
        <f>COUNTIF(F$100:F$133,B120)</f>
        <v>30</v>
      </c>
      <c r="L120">
        <v>117</v>
      </c>
      <c r="M120">
        <f>_xlfn.XLOOKUP(L120,'Order Page'!X$27:X$393,'Order Page'!T$27:T$393,0)</f>
        <v>0</v>
      </c>
      <c r="N120">
        <f>_xlfn.XLOOKUP(L120,'Order Page'!X$27:X$393,'Order Page'!R$27:R$393,0)</f>
        <v>0</v>
      </c>
      <c r="O120" t="str">
        <f t="shared" si="109"/>
        <v/>
      </c>
      <c r="P120" t="str">
        <f t="shared" si="110"/>
        <v/>
      </c>
      <c r="Q120" s="263"/>
      <c r="R120">
        <v>117</v>
      </c>
      <c r="S120">
        <f t="shared" si="125"/>
        <v>1</v>
      </c>
      <c r="T120">
        <f t="shared" si="111"/>
        <v>0</v>
      </c>
      <c r="U120">
        <f>_xlfn.XLOOKUP(T120,'Order Page'!X$27:X$393,'Order Page'!U$27:U$393,"")</f>
        <v>0</v>
      </c>
      <c r="W120" t="str">
        <f t="shared" si="112"/>
        <v/>
      </c>
      <c r="X120" t="str">
        <f t="shared" si="113"/>
        <v/>
      </c>
      <c r="Y120" t="str">
        <f>_xlfn.XLOOKUP(T120,'Order Page'!X$27:X$393,'Order Page'!C$27:C$393,"")</f>
        <v>Acorus Calamus</v>
      </c>
      <c r="Z120" s="264"/>
      <c r="AA120">
        <v>117</v>
      </c>
      <c r="AB120" cm="1">
        <f t="array" ref="AB120">VLOOKUP(ROW(117:117),S$4:T$153,2)</f>
        <v>0</v>
      </c>
      <c r="AD120" t="str">
        <f t="shared" si="114"/>
        <v/>
      </c>
      <c r="AE120" t="e">
        <f t="shared" si="86"/>
        <v>#N/A</v>
      </c>
      <c r="AF120" t="str">
        <f t="shared" si="115"/>
        <v/>
      </c>
      <c r="AG120" t="str">
        <f>_xlfn.XLOOKUP(AB120,'Order Page'!X$27:X$393,'Order Page'!C$27:C$393,"")</f>
        <v>Acorus Calamus</v>
      </c>
      <c r="AH120">
        <f t="shared" si="116"/>
        <v>0</v>
      </c>
      <c r="AI120">
        <f t="shared" si="117"/>
        <v>0</v>
      </c>
      <c r="AJ120">
        <f t="shared" si="92"/>
        <v>0</v>
      </c>
      <c r="AK120">
        <f t="shared" si="87"/>
        <v>0</v>
      </c>
      <c r="AL120">
        <f>IF(OR(AD119&amp;AF119&lt;&gt;AD120&amp;AF120,AK120&lt;AK119),AK119,0)+MAX(AL$4:AL119)</f>
        <v>0</v>
      </c>
      <c r="AM120">
        <f t="shared" si="88"/>
        <v>0</v>
      </c>
      <c r="AO120" s="25" t="str">
        <f t="shared" si="89"/>
        <v/>
      </c>
      <c r="AP120" s="25" t="str">
        <f t="shared" si="118"/>
        <v/>
      </c>
      <c r="AQ120" t="str">
        <f t="shared" si="90"/>
        <v/>
      </c>
      <c r="AR120" t="str">
        <f t="shared" si="119"/>
        <v/>
      </c>
      <c r="AS120">
        <f t="shared" si="120"/>
        <v>0</v>
      </c>
      <c r="AT120">
        <f t="shared" si="91"/>
        <v>0</v>
      </c>
      <c r="AU120" t="str">
        <f>_xlfn.XLOOKUP(AB120,'Order Page'!X$24:X$378,'Order Page'!B$24:B$378,0)</f>
        <v>x6</v>
      </c>
      <c r="AV120">
        <f>_xlfn.XLOOKUP(AB120,'Order Page'!X$24:X$378,'Order Page'!O$24:O$378,0)</f>
        <v>38</v>
      </c>
      <c r="AW120" s="264"/>
    </row>
    <row r="121" spans="1:49" x14ac:dyDescent="0.25">
      <c r="A121">
        <v>3</v>
      </c>
      <c r="B121" t="e">
        <f t="shared" si="127"/>
        <v>#N/A</v>
      </c>
      <c r="D121" t="e">
        <f>IF(D$89-SUM(D$119:D120)-B121&gt;=0,B121,0)</f>
        <v>#N/A</v>
      </c>
      <c r="E121" t="e">
        <f>IF(COUNTIF(E$119:E120,"&lt;0")=0,IF(AND(D$135&gt;0,D121&gt;0,SUM(B$119:B$133)&lt;&gt;SUM(D$119:D$133),D$134&gt;0),-D121,0),IF(AND(D121=0,B121&gt;0),IF(D$135-SUM(E$119:E120)-B121&gt;=0,B121,0),0))</f>
        <v>#N/A</v>
      </c>
      <c r="F121" t="e">
        <f t="shared" si="128"/>
        <v>#N/A</v>
      </c>
      <c r="G121" t="e">
        <f>IF(F121&gt;0,F121*10+COUNTIF(F$119:F121,F121)+J102,0)</f>
        <v>#N/A</v>
      </c>
      <c r="H121" t="e">
        <f>IF(G121&gt;0,_xlfn.XLOOKUP(G121,K$61:K$80,B$61:B$80,0),0)</f>
        <v>#N/A</v>
      </c>
      <c r="J121">
        <f t="shared" ref="J121:J133" si="129">COUNTIF(F$100:F$133,B121)</f>
        <v>30</v>
      </c>
      <c r="L121">
        <v>118</v>
      </c>
      <c r="M121">
        <f>_xlfn.XLOOKUP(L121,'Order Page'!X$27:X$393,'Order Page'!T$27:T$393,0)</f>
        <v>0</v>
      </c>
      <c r="N121">
        <f>_xlfn.XLOOKUP(L121,'Order Page'!X$27:X$393,'Order Page'!R$27:R$393,0)</f>
        <v>0</v>
      </c>
      <c r="O121" t="str">
        <f t="shared" si="109"/>
        <v/>
      </c>
      <c r="P121" t="str">
        <f t="shared" si="110"/>
        <v/>
      </c>
      <c r="Q121" s="263"/>
      <c r="R121">
        <v>118</v>
      </c>
      <c r="S121">
        <f t="shared" si="125"/>
        <v>1</v>
      </c>
      <c r="T121">
        <f t="shared" si="111"/>
        <v>0</v>
      </c>
      <c r="U121">
        <f>_xlfn.XLOOKUP(T121,'Order Page'!X$27:X$393,'Order Page'!U$27:U$393,"")</f>
        <v>0</v>
      </c>
      <c r="W121" t="str">
        <f t="shared" si="112"/>
        <v/>
      </c>
      <c r="X121" t="str">
        <f t="shared" si="113"/>
        <v/>
      </c>
      <c r="Y121" t="str">
        <f>_xlfn.XLOOKUP(T121,'Order Page'!X$27:X$393,'Order Page'!C$27:C$393,"")</f>
        <v>Acorus Calamus</v>
      </c>
      <c r="Z121" s="264"/>
      <c r="AA121">
        <v>118</v>
      </c>
      <c r="AB121" cm="1">
        <f t="array" ref="AB121">VLOOKUP(ROW(118:118),S$4:T$153,2)</f>
        <v>0</v>
      </c>
      <c r="AD121" t="str">
        <f t="shared" si="114"/>
        <v/>
      </c>
      <c r="AE121" t="e">
        <f t="shared" si="86"/>
        <v>#N/A</v>
      </c>
      <c r="AF121" t="str">
        <f t="shared" si="115"/>
        <v/>
      </c>
      <c r="AG121" t="str">
        <f>_xlfn.XLOOKUP(AB121,'Order Page'!X$27:X$393,'Order Page'!C$27:C$393,"")</f>
        <v>Acorus Calamus</v>
      </c>
      <c r="AH121">
        <f t="shared" si="116"/>
        <v>0</v>
      </c>
      <c r="AI121">
        <f t="shared" si="117"/>
        <v>0</v>
      </c>
      <c r="AJ121">
        <f t="shared" si="92"/>
        <v>0</v>
      </c>
      <c r="AK121">
        <f t="shared" si="87"/>
        <v>0</v>
      </c>
      <c r="AL121">
        <f>IF(OR(AD120&amp;AF120&lt;&gt;AD121&amp;AF121,AK121&lt;AK120),AK120,0)+MAX(AL$4:AL120)</f>
        <v>0</v>
      </c>
      <c r="AM121">
        <f t="shared" si="88"/>
        <v>0</v>
      </c>
      <c r="AO121" s="25" t="str">
        <f t="shared" si="89"/>
        <v/>
      </c>
      <c r="AP121" s="25" t="str">
        <f t="shared" si="118"/>
        <v/>
      </c>
      <c r="AQ121" t="str">
        <f t="shared" si="90"/>
        <v/>
      </c>
      <c r="AR121" t="str">
        <f t="shared" si="119"/>
        <v/>
      </c>
      <c r="AS121">
        <f t="shared" si="120"/>
        <v>0</v>
      </c>
      <c r="AT121">
        <f t="shared" si="91"/>
        <v>0</v>
      </c>
      <c r="AU121" t="str">
        <f>_xlfn.XLOOKUP(AB121,'Order Page'!X$24:X$378,'Order Page'!B$24:B$378,0)</f>
        <v>x6</v>
      </c>
      <c r="AV121">
        <f>_xlfn.XLOOKUP(AB121,'Order Page'!X$24:X$378,'Order Page'!O$24:O$378,0)</f>
        <v>38</v>
      </c>
      <c r="AW121" s="264"/>
    </row>
    <row r="122" spans="1:49" x14ac:dyDescent="0.25">
      <c r="A122">
        <v>4</v>
      </c>
      <c r="B122" t="e">
        <f>IF(AND(H103=0,C103&gt;0),C103,0)</f>
        <v>#N/A</v>
      </c>
      <c r="D122" t="e">
        <f>IF(D$89-SUM(D$119:D121)-B122&gt;=0,B122,0)</f>
        <v>#N/A</v>
      </c>
      <c r="E122" t="e">
        <f>IF(COUNTIF(E$119:E121,"&lt;0")=0,IF(AND(D$135&gt;0,D122&gt;0,SUM(B$119:B$133)&lt;&gt;SUM(D$119:D$133),D$134&gt;0),-D122,0),IF(AND(D122=0,B122&gt;0),IF(D$135-SUM(E$119:E121)-B122&gt;=0,B122,0),0))</f>
        <v>#N/A</v>
      </c>
      <c r="F122" t="e">
        <f t="shared" si="128"/>
        <v>#N/A</v>
      </c>
      <c r="G122" t="e">
        <f>IF(F122&gt;0,F122*10+COUNTIF(F$119:F122,F122)+J103,0)</f>
        <v>#N/A</v>
      </c>
      <c r="H122" t="e">
        <f>IF(G122&gt;0,_xlfn.XLOOKUP(G122,K$61:K$80,B$61:B$80,0),0)</f>
        <v>#N/A</v>
      </c>
      <c r="J122">
        <f>COUNTIF(F$100:F$133,B122)</f>
        <v>30</v>
      </c>
      <c r="L122">
        <v>119</v>
      </c>
      <c r="M122">
        <f>_xlfn.XLOOKUP(L122,'Order Page'!X$27:X$393,'Order Page'!T$27:T$393,0)</f>
        <v>0</v>
      </c>
      <c r="N122">
        <f>_xlfn.XLOOKUP(L122,'Order Page'!X$27:X$393,'Order Page'!R$27:R$393,0)</f>
        <v>0</v>
      </c>
      <c r="O122" t="str">
        <f t="shared" si="109"/>
        <v/>
      </c>
      <c r="P122" t="str">
        <f t="shared" si="110"/>
        <v/>
      </c>
      <c r="Q122" s="263"/>
      <c r="R122">
        <v>119</v>
      </c>
      <c r="S122">
        <f t="shared" si="125"/>
        <v>1</v>
      </c>
      <c r="T122">
        <f t="shared" si="111"/>
        <v>0</v>
      </c>
      <c r="U122">
        <f>_xlfn.XLOOKUP(T122,'Order Page'!X$27:X$393,'Order Page'!U$27:U$393,"")</f>
        <v>0</v>
      </c>
      <c r="W122" t="str">
        <f t="shared" si="112"/>
        <v/>
      </c>
      <c r="X122" t="str">
        <f t="shared" si="113"/>
        <v/>
      </c>
      <c r="Y122" t="str">
        <f>_xlfn.XLOOKUP(T122,'Order Page'!X$27:X$393,'Order Page'!C$27:C$393,"")</f>
        <v>Acorus Calamus</v>
      </c>
      <c r="Z122" s="264"/>
      <c r="AA122">
        <v>119</v>
      </c>
      <c r="AB122" cm="1">
        <f t="array" ref="AB122">VLOOKUP(ROW(119:119),S$4:T$153,2)</f>
        <v>0</v>
      </c>
      <c r="AD122" t="str">
        <f t="shared" si="114"/>
        <v/>
      </c>
      <c r="AE122" t="e">
        <f t="shared" si="86"/>
        <v>#N/A</v>
      </c>
      <c r="AF122" t="str">
        <f t="shared" si="115"/>
        <v/>
      </c>
      <c r="AG122" t="str">
        <f>_xlfn.XLOOKUP(AB122,'Order Page'!X$27:X$393,'Order Page'!C$27:C$393,"")</f>
        <v>Acorus Calamus</v>
      </c>
      <c r="AH122">
        <f t="shared" si="116"/>
        <v>0</v>
      </c>
      <c r="AI122">
        <f t="shared" si="117"/>
        <v>0</v>
      </c>
      <c r="AJ122">
        <f t="shared" si="92"/>
        <v>0</v>
      </c>
      <c r="AK122">
        <f t="shared" si="87"/>
        <v>0</v>
      </c>
      <c r="AL122">
        <f>IF(OR(AD121&amp;AF121&lt;&gt;AD122&amp;AF122,AK122&lt;AK121),AK121,0)+MAX(AL$4:AL121)</f>
        <v>0</v>
      </c>
      <c r="AM122">
        <f t="shared" si="88"/>
        <v>0</v>
      </c>
      <c r="AO122" s="25" t="str">
        <f t="shared" si="89"/>
        <v/>
      </c>
      <c r="AP122" s="25" t="str">
        <f t="shared" si="118"/>
        <v/>
      </c>
      <c r="AQ122" t="str">
        <f t="shared" si="90"/>
        <v/>
      </c>
      <c r="AR122" t="str">
        <f t="shared" si="119"/>
        <v/>
      </c>
      <c r="AS122">
        <f t="shared" si="120"/>
        <v>0</v>
      </c>
      <c r="AT122">
        <f t="shared" si="91"/>
        <v>0</v>
      </c>
      <c r="AU122" t="str">
        <f>_xlfn.XLOOKUP(AB122,'Order Page'!X$24:X$378,'Order Page'!B$24:B$378,0)</f>
        <v>x6</v>
      </c>
      <c r="AV122">
        <f>_xlfn.XLOOKUP(AB122,'Order Page'!X$24:X$378,'Order Page'!O$24:O$378,0)</f>
        <v>38</v>
      </c>
      <c r="AW122" s="264"/>
    </row>
    <row r="123" spans="1:49" x14ac:dyDescent="0.25">
      <c r="A123">
        <v>5</v>
      </c>
      <c r="B123" t="e">
        <f t="shared" si="127"/>
        <v>#N/A</v>
      </c>
      <c r="D123" t="e">
        <f>IF(D$89-SUM(D$119:D122)-B123&gt;=0,B123,0)</f>
        <v>#N/A</v>
      </c>
      <c r="E123" t="e">
        <f>IF(COUNTIF(E$119:E122,"&lt;0")=0,IF(AND(D$135&gt;0,D123&gt;0,SUM(B$119:B$133)&lt;&gt;SUM(D$119:D$133),D$134&gt;0),-D123,0),IF(AND(D123=0,B123&gt;0),IF(D$135-SUM(E$119:E122)-B123&gt;=0,B123,0),0))</f>
        <v>#N/A</v>
      </c>
      <c r="F123" t="e">
        <f t="shared" si="128"/>
        <v>#N/A</v>
      </c>
      <c r="G123" t="e">
        <f>IF(F123&gt;0,F123*10+COUNTIF(F$119:F123,F123)+J104,0)</f>
        <v>#N/A</v>
      </c>
      <c r="H123" t="e">
        <f t="shared" ref="H123:H133" si="130">IF(G123&gt;0,_xlfn.XLOOKUP(G123,K$61:K$80,B$61:B$80,0),0)</f>
        <v>#N/A</v>
      </c>
      <c r="J123">
        <f t="shared" si="129"/>
        <v>30</v>
      </c>
      <c r="L123">
        <v>120</v>
      </c>
      <c r="M123">
        <f>_xlfn.XLOOKUP(L123,'Order Page'!X$27:X$393,'Order Page'!T$27:T$393,0)</f>
        <v>0</v>
      </c>
      <c r="N123">
        <f>_xlfn.XLOOKUP(L123,'Order Page'!X$27:X$393,'Order Page'!R$27:R$393,0)</f>
        <v>0</v>
      </c>
      <c r="O123" t="str">
        <f t="shared" si="109"/>
        <v/>
      </c>
      <c r="P123" t="str">
        <f t="shared" si="110"/>
        <v/>
      </c>
      <c r="Q123" s="263"/>
      <c r="R123">
        <v>120</v>
      </c>
      <c r="S123">
        <f t="shared" si="125"/>
        <v>1</v>
      </c>
      <c r="T123">
        <f t="shared" si="111"/>
        <v>0</v>
      </c>
      <c r="U123">
        <f>_xlfn.XLOOKUP(T123,'Order Page'!X$27:X$393,'Order Page'!U$27:U$393,"")</f>
        <v>0</v>
      </c>
      <c r="W123" t="str">
        <f t="shared" si="112"/>
        <v/>
      </c>
      <c r="X123" t="str">
        <f t="shared" si="113"/>
        <v/>
      </c>
      <c r="Y123" t="str">
        <f>_xlfn.XLOOKUP(T123,'Order Page'!X$27:X$393,'Order Page'!C$27:C$393,"")</f>
        <v>Acorus Calamus</v>
      </c>
      <c r="Z123" s="264"/>
      <c r="AA123">
        <v>120</v>
      </c>
      <c r="AB123" cm="1">
        <f t="array" ref="AB123">VLOOKUP(ROW(120:120),S$4:T$153,2)</f>
        <v>0</v>
      </c>
      <c r="AD123" t="str">
        <f t="shared" si="114"/>
        <v/>
      </c>
      <c r="AE123" t="e">
        <f t="shared" si="86"/>
        <v>#N/A</v>
      </c>
      <c r="AF123" t="str">
        <f t="shared" si="115"/>
        <v/>
      </c>
      <c r="AG123" t="str">
        <f>_xlfn.XLOOKUP(AB123,'Order Page'!X$27:X$393,'Order Page'!C$27:C$393,"")</f>
        <v>Acorus Calamus</v>
      </c>
      <c r="AH123">
        <f t="shared" si="116"/>
        <v>0</v>
      </c>
      <c r="AI123">
        <f t="shared" si="117"/>
        <v>0</v>
      </c>
      <c r="AJ123">
        <f t="shared" si="92"/>
        <v>0</v>
      </c>
      <c r="AK123">
        <f t="shared" si="87"/>
        <v>0</v>
      </c>
      <c r="AL123">
        <f>IF(OR(AD122&amp;AF122&lt;&gt;AD123&amp;AF123,AK123&lt;AK122),AK122,0)+MAX(AL$4:AL122)</f>
        <v>0</v>
      </c>
      <c r="AM123">
        <f t="shared" si="88"/>
        <v>0</v>
      </c>
      <c r="AO123" s="25" t="str">
        <f t="shared" si="89"/>
        <v/>
      </c>
      <c r="AP123" s="25" t="str">
        <f t="shared" si="118"/>
        <v/>
      </c>
      <c r="AQ123" t="str">
        <f t="shared" si="90"/>
        <v/>
      </c>
      <c r="AR123" t="str">
        <f t="shared" si="119"/>
        <v/>
      </c>
      <c r="AS123">
        <f t="shared" si="120"/>
        <v>0</v>
      </c>
      <c r="AT123">
        <f t="shared" si="91"/>
        <v>0</v>
      </c>
      <c r="AU123" t="str">
        <f>_xlfn.XLOOKUP(AB123,'Order Page'!X$24:X$378,'Order Page'!B$24:B$378,0)</f>
        <v>x6</v>
      </c>
      <c r="AV123">
        <f>_xlfn.XLOOKUP(AB123,'Order Page'!X$24:X$378,'Order Page'!O$24:O$378,0)</f>
        <v>38</v>
      </c>
      <c r="AW123" s="264"/>
    </row>
    <row r="124" spans="1:49" x14ac:dyDescent="0.25">
      <c r="A124">
        <v>6</v>
      </c>
      <c r="B124" t="e">
        <f t="shared" si="127"/>
        <v>#N/A</v>
      </c>
      <c r="D124" t="e">
        <f>IF(D$89-SUM(D$119:D123)-B124&gt;=0,B124,0)</f>
        <v>#N/A</v>
      </c>
      <c r="E124" t="e">
        <f>IF(COUNTIF(E$119:E123,"&lt;0")=0,IF(AND(D$135&gt;0,D124&gt;0,SUM(B$119:B$133)&lt;&gt;SUM(D$119:D$133),D$134&gt;0),-D124,0),IF(AND(D124=0,B124&gt;0),IF(D$135-SUM(E$119:E123)-B124&gt;=0,B124,0),0))</f>
        <v>#N/A</v>
      </c>
      <c r="F124" t="e">
        <f t="shared" si="128"/>
        <v>#N/A</v>
      </c>
      <c r="G124" t="e">
        <f>IF(F124&gt;0,F124*10+COUNTIF(F$119:F124,F124)+J105,0)</f>
        <v>#N/A</v>
      </c>
      <c r="H124" t="e">
        <f>IF(G124&gt;0,_xlfn.XLOOKUP(G124,K$61:K$80,B$61:B$80,0),0)</f>
        <v>#N/A</v>
      </c>
      <c r="J124">
        <f t="shared" si="129"/>
        <v>30</v>
      </c>
      <c r="L124">
        <v>121</v>
      </c>
      <c r="M124">
        <f>_xlfn.XLOOKUP(L124,'Order Page'!X$27:X$393,'Order Page'!T$27:T$393,0)</f>
        <v>0</v>
      </c>
      <c r="N124">
        <f>_xlfn.XLOOKUP(L124,'Order Page'!X$27:X$393,'Order Page'!R$27:R$393,0)</f>
        <v>0</v>
      </c>
      <c r="O124" t="str">
        <f t="shared" si="109"/>
        <v/>
      </c>
      <c r="P124" t="str">
        <f t="shared" si="110"/>
        <v/>
      </c>
      <c r="Q124" s="263"/>
      <c r="R124">
        <v>121</v>
      </c>
      <c r="S124">
        <f t="shared" si="125"/>
        <v>1</v>
      </c>
      <c r="T124">
        <f t="shared" si="111"/>
        <v>0</v>
      </c>
      <c r="U124">
        <f>_xlfn.XLOOKUP(T124,'Order Page'!X$27:X$393,'Order Page'!U$27:U$393,"")</f>
        <v>0</v>
      </c>
      <c r="W124" t="str">
        <f t="shared" si="112"/>
        <v/>
      </c>
      <c r="X124" t="str">
        <f t="shared" si="113"/>
        <v/>
      </c>
      <c r="Y124" t="str">
        <f>_xlfn.XLOOKUP(T124,'Order Page'!X$27:X$393,'Order Page'!C$27:C$393,"")</f>
        <v>Acorus Calamus</v>
      </c>
      <c r="Z124" s="264"/>
      <c r="AA124">
        <v>121</v>
      </c>
      <c r="AB124" cm="1">
        <f t="array" ref="AB124">VLOOKUP(ROW(121:121),S$4:T$153,2)</f>
        <v>0</v>
      </c>
      <c r="AD124" t="str">
        <f t="shared" si="114"/>
        <v/>
      </c>
      <c r="AE124" t="e">
        <f t="shared" si="86"/>
        <v>#N/A</v>
      </c>
      <c r="AF124" t="str">
        <f t="shared" si="115"/>
        <v/>
      </c>
      <c r="AG124" t="str">
        <f>_xlfn.XLOOKUP(AB124,'Order Page'!X$27:X$393,'Order Page'!C$27:C$393,"")</f>
        <v>Acorus Calamus</v>
      </c>
      <c r="AH124">
        <f t="shared" si="116"/>
        <v>0</v>
      </c>
      <c r="AI124">
        <f t="shared" si="117"/>
        <v>0</v>
      </c>
      <c r="AJ124">
        <f t="shared" si="92"/>
        <v>0</v>
      </c>
      <c r="AK124">
        <f t="shared" si="87"/>
        <v>0</v>
      </c>
      <c r="AL124">
        <f>IF(OR(AD123&amp;AF123&lt;&gt;AD124&amp;AF124,AK124&lt;AK123),AK123,0)+MAX(AL$4:AL123)</f>
        <v>0</v>
      </c>
      <c r="AM124">
        <f t="shared" si="88"/>
        <v>0</v>
      </c>
      <c r="AO124" s="25" t="str">
        <f t="shared" si="89"/>
        <v/>
      </c>
      <c r="AP124" s="25" t="str">
        <f t="shared" si="118"/>
        <v/>
      </c>
      <c r="AQ124" t="str">
        <f t="shared" si="90"/>
        <v/>
      </c>
      <c r="AR124" t="str">
        <f t="shared" si="119"/>
        <v/>
      </c>
      <c r="AS124">
        <f t="shared" si="120"/>
        <v>0</v>
      </c>
      <c r="AT124">
        <f t="shared" si="91"/>
        <v>0</v>
      </c>
      <c r="AU124" t="str">
        <f>_xlfn.XLOOKUP(AB124,'Order Page'!X$24:X$378,'Order Page'!B$24:B$378,0)</f>
        <v>x6</v>
      </c>
      <c r="AV124">
        <f>_xlfn.XLOOKUP(AB124,'Order Page'!X$24:X$378,'Order Page'!O$24:O$378,0)</f>
        <v>38</v>
      </c>
      <c r="AW124" s="264"/>
    </row>
    <row r="125" spans="1:49" x14ac:dyDescent="0.25">
      <c r="A125">
        <v>7</v>
      </c>
      <c r="B125" t="e">
        <f t="shared" si="127"/>
        <v>#N/A</v>
      </c>
      <c r="D125" t="e">
        <f>IF(D$89-SUM(D$119:D124)-B125&gt;=0,B125,0)</f>
        <v>#N/A</v>
      </c>
      <c r="E125" t="e">
        <f>IF(COUNTIF(E$119:E124,"&lt;0")=0,IF(AND(D$135&gt;0,D125&gt;0,SUM(B$119:B$133)&lt;&gt;SUM(D$119:D$133),D$134&gt;0),-D125,0),IF(AND(D125=0,B125&gt;0),IF(D$135-SUM(E$119:E124)-B125&gt;=0,B125,0),0))</f>
        <v>#N/A</v>
      </c>
      <c r="F125" t="e">
        <f t="shared" si="128"/>
        <v>#N/A</v>
      </c>
      <c r="G125" t="e">
        <f>IF(F125&gt;0,F125*10+COUNTIF(F$119:F125,F125)+J106,0)</f>
        <v>#N/A</v>
      </c>
      <c r="H125" t="e">
        <f t="shared" si="130"/>
        <v>#N/A</v>
      </c>
      <c r="J125">
        <f t="shared" si="129"/>
        <v>30</v>
      </c>
      <c r="L125">
        <v>122</v>
      </c>
      <c r="M125">
        <f>_xlfn.XLOOKUP(L125,'Order Page'!X$27:X$393,'Order Page'!T$27:T$393,0)</f>
        <v>0</v>
      </c>
      <c r="N125">
        <f>_xlfn.XLOOKUP(L125,'Order Page'!X$27:X$393,'Order Page'!R$27:R$393,0)</f>
        <v>0</v>
      </c>
      <c r="O125" t="str">
        <f t="shared" si="109"/>
        <v/>
      </c>
      <c r="P125" t="str">
        <f t="shared" si="110"/>
        <v/>
      </c>
      <c r="Q125" s="263"/>
      <c r="R125">
        <v>122</v>
      </c>
      <c r="S125">
        <f t="shared" si="125"/>
        <v>1</v>
      </c>
      <c r="T125">
        <f t="shared" si="111"/>
        <v>0</v>
      </c>
      <c r="U125">
        <f>_xlfn.XLOOKUP(T125,'Order Page'!X$27:X$393,'Order Page'!U$27:U$393,"")</f>
        <v>0</v>
      </c>
      <c r="W125" t="str">
        <f t="shared" si="112"/>
        <v/>
      </c>
      <c r="X125" t="str">
        <f t="shared" si="113"/>
        <v/>
      </c>
      <c r="Y125" t="str">
        <f>_xlfn.XLOOKUP(T125,'Order Page'!X$27:X$393,'Order Page'!C$27:C$393,"")</f>
        <v>Acorus Calamus</v>
      </c>
      <c r="Z125" s="264"/>
      <c r="AA125">
        <v>122</v>
      </c>
      <c r="AB125" cm="1">
        <f t="array" ref="AB125">VLOOKUP(ROW(122:122),S$4:T$153,2)</f>
        <v>0</v>
      </c>
      <c r="AD125" t="str">
        <f t="shared" si="114"/>
        <v/>
      </c>
      <c r="AE125" t="e">
        <f t="shared" si="86"/>
        <v>#N/A</v>
      </c>
      <c r="AF125" t="str">
        <f t="shared" si="115"/>
        <v/>
      </c>
      <c r="AG125" t="str">
        <f>_xlfn.XLOOKUP(AB125,'Order Page'!X$27:X$393,'Order Page'!C$27:C$393,"")</f>
        <v>Acorus Calamus</v>
      </c>
      <c r="AH125">
        <f t="shared" si="116"/>
        <v>0</v>
      </c>
      <c r="AI125">
        <f t="shared" si="117"/>
        <v>0</v>
      </c>
      <c r="AJ125">
        <f t="shared" si="92"/>
        <v>0</v>
      </c>
      <c r="AK125">
        <f t="shared" si="87"/>
        <v>0</v>
      </c>
      <c r="AL125">
        <f>IF(OR(AD124&amp;AF124&lt;&gt;AD125&amp;AF125,AK125&lt;AK124),AK124,0)+MAX(AL$4:AL124)</f>
        <v>0</v>
      </c>
      <c r="AM125">
        <f t="shared" si="88"/>
        <v>0</v>
      </c>
      <c r="AO125" s="25" t="str">
        <f t="shared" si="89"/>
        <v/>
      </c>
      <c r="AP125" s="25" t="str">
        <f t="shared" si="118"/>
        <v/>
      </c>
      <c r="AQ125" t="str">
        <f t="shared" si="90"/>
        <v/>
      </c>
      <c r="AR125" t="str">
        <f t="shared" si="119"/>
        <v/>
      </c>
      <c r="AS125">
        <f t="shared" si="120"/>
        <v>0</v>
      </c>
      <c r="AT125">
        <f t="shared" si="91"/>
        <v>0</v>
      </c>
      <c r="AU125" t="str">
        <f>_xlfn.XLOOKUP(AB125,'Order Page'!X$24:X$378,'Order Page'!B$24:B$378,0)</f>
        <v>x6</v>
      </c>
      <c r="AV125">
        <f>_xlfn.XLOOKUP(AB125,'Order Page'!X$24:X$378,'Order Page'!O$24:O$378,0)</f>
        <v>38</v>
      </c>
      <c r="AW125" s="264"/>
    </row>
    <row r="126" spans="1:49" x14ac:dyDescent="0.25">
      <c r="A126">
        <v>8</v>
      </c>
      <c r="B126" t="e">
        <f t="shared" si="127"/>
        <v>#N/A</v>
      </c>
      <c r="D126" t="e">
        <f>IF(D$89-SUM(D$119:D125)-B126&gt;=0,B126,0)</f>
        <v>#N/A</v>
      </c>
      <c r="E126" t="e">
        <f>IF(COUNTIF(E$119:E125,"&lt;0")=0,IF(AND(D$135&gt;0,D126&gt;0,SUM(B$119:B$133)&lt;&gt;SUM(D$119:D$133),D$134&gt;0),-D126,0),IF(AND(D126=0,B126&gt;0),IF(D$135-SUM(E$119:E125)-B126&gt;=0,B126,0),0))</f>
        <v>#N/A</v>
      </c>
      <c r="F126" t="e">
        <f t="shared" si="128"/>
        <v>#N/A</v>
      </c>
      <c r="G126" t="e">
        <f>IF(F126&gt;0,F126*10+COUNTIF(F$119:F126,F126)+J107,0)</f>
        <v>#N/A</v>
      </c>
      <c r="H126" t="e">
        <f t="shared" si="130"/>
        <v>#N/A</v>
      </c>
      <c r="J126">
        <f t="shared" si="129"/>
        <v>30</v>
      </c>
      <c r="L126">
        <v>123</v>
      </c>
      <c r="M126">
        <f>_xlfn.XLOOKUP(L126,'Order Page'!X$27:X$393,'Order Page'!T$27:T$393,0)</f>
        <v>0</v>
      </c>
      <c r="N126">
        <f>_xlfn.XLOOKUP(L126,'Order Page'!X$27:X$393,'Order Page'!R$27:R$393,0)</f>
        <v>0</v>
      </c>
      <c r="O126" t="str">
        <f t="shared" si="109"/>
        <v/>
      </c>
      <c r="P126" t="str">
        <f t="shared" si="110"/>
        <v/>
      </c>
      <c r="Q126" s="263"/>
      <c r="R126">
        <v>123</v>
      </c>
      <c r="S126">
        <f t="shared" si="125"/>
        <v>1</v>
      </c>
      <c r="T126">
        <f t="shared" si="111"/>
        <v>0</v>
      </c>
      <c r="U126">
        <f>_xlfn.XLOOKUP(T126,'Order Page'!X$27:X$393,'Order Page'!U$27:U$393,"")</f>
        <v>0</v>
      </c>
      <c r="W126" t="str">
        <f t="shared" si="112"/>
        <v/>
      </c>
      <c r="X126" t="str">
        <f t="shared" si="113"/>
        <v/>
      </c>
      <c r="Y126" t="str">
        <f>_xlfn.XLOOKUP(T126,'Order Page'!X$27:X$393,'Order Page'!C$27:C$393,"")</f>
        <v>Acorus Calamus</v>
      </c>
      <c r="Z126" s="264"/>
      <c r="AA126">
        <v>123</v>
      </c>
      <c r="AB126" cm="1">
        <f t="array" ref="AB126">VLOOKUP(ROW(123:123),S$4:T$153,2)</f>
        <v>0</v>
      </c>
      <c r="AD126" t="str">
        <f t="shared" si="114"/>
        <v/>
      </c>
      <c r="AE126" t="e">
        <f t="shared" si="86"/>
        <v>#N/A</v>
      </c>
      <c r="AF126" t="str">
        <f t="shared" si="115"/>
        <v/>
      </c>
      <c r="AG126" t="str">
        <f>_xlfn.XLOOKUP(AB126,'Order Page'!X$27:X$393,'Order Page'!C$27:C$393,"")</f>
        <v>Acorus Calamus</v>
      </c>
      <c r="AH126">
        <f t="shared" si="116"/>
        <v>0</v>
      </c>
      <c r="AI126">
        <f t="shared" si="117"/>
        <v>0</v>
      </c>
      <c r="AJ126">
        <f t="shared" si="92"/>
        <v>0</v>
      </c>
      <c r="AK126">
        <f t="shared" si="87"/>
        <v>0</v>
      </c>
      <c r="AL126">
        <f>IF(OR(AD125&amp;AF125&lt;&gt;AD126&amp;AF126,AK126&lt;AK125),AK125,0)+MAX(AL$4:AL125)</f>
        <v>0</v>
      </c>
      <c r="AM126">
        <f t="shared" si="88"/>
        <v>0</v>
      </c>
      <c r="AO126" s="25" t="str">
        <f t="shared" si="89"/>
        <v/>
      </c>
      <c r="AP126" s="25" t="str">
        <f t="shared" si="118"/>
        <v/>
      </c>
      <c r="AQ126" t="str">
        <f t="shared" si="90"/>
        <v/>
      </c>
      <c r="AR126" t="str">
        <f t="shared" si="119"/>
        <v/>
      </c>
      <c r="AS126">
        <f t="shared" si="120"/>
        <v>0</v>
      </c>
      <c r="AT126">
        <f t="shared" si="91"/>
        <v>0</v>
      </c>
      <c r="AU126" t="str">
        <f>_xlfn.XLOOKUP(AB126,'Order Page'!X$24:X$378,'Order Page'!B$24:B$378,0)</f>
        <v>x6</v>
      </c>
      <c r="AV126">
        <f>_xlfn.XLOOKUP(AB126,'Order Page'!X$24:X$378,'Order Page'!O$24:O$378,0)</f>
        <v>38</v>
      </c>
      <c r="AW126" s="264"/>
    </row>
    <row r="127" spans="1:49" x14ac:dyDescent="0.25">
      <c r="A127">
        <v>9</v>
      </c>
      <c r="B127" t="e">
        <f t="shared" si="127"/>
        <v>#N/A</v>
      </c>
      <c r="D127" t="e">
        <f>IF(D$89-SUM(D$119:D126)-B127&gt;=0,B127,0)</f>
        <v>#N/A</v>
      </c>
      <c r="E127" t="e">
        <f>IF(COUNTIF(E$119:E126,"&lt;0")=0,IF(AND(D$135&gt;0,D127&gt;0,SUM(B$119:B$133)&lt;&gt;SUM(D$119:D$133),D$134&gt;0),-D127,0),IF(AND(D127=0,B127&gt;0),IF(D$135-SUM(E$119:E126)-B127&gt;=0,B127,0),0))</f>
        <v>#N/A</v>
      </c>
      <c r="F127" t="e">
        <f t="shared" si="128"/>
        <v>#N/A</v>
      </c>
      <c r="G127" t="e">
        <f>IF(F127&gt;0,F127*10+COUNTIF(F$119:F127,F127)+J108,0)</f>
        <v>#N/A</v>
      </c>
      <c r="H127" t="e">
        <f t="shared" si="130"/>
        <v>#N/A</v>
      </c>
      <c r="J127">
        <f t="shared" si="129"/>
        <v>30</v>
      </c>
      <c r="L127">
        <v>124</v>
      </c>
      <c r="M127">
        <f>_xlfn.XLOOKUP(L127,'Order Page'!X$27:X$393,'Order Page'!T$27:T$393,0)</f>
        <v>0</v>
      </c>
      <c r="N127">
        <f>_xlfn.XLOOKUP(L127,'Order Page'!X$27:X$393,'Order Page'!R$27:R$393,0)</f>
        <v>0</v>
      </c>
      <c r="O127" t="str">
        <f t="shared" si="109"/>
        <v/>
      </c>
      <c r="P127" t="str">
        <f t="shared" si="110"/>
        <v/>
      </c>
      <c r="Q127" s="263"/>
      <c r="R127">
        <v>124</v>
      </c>
      <c r="S127">
        <f t="shared" si="125"/>
        <v>1</v>
      </c>
      <c r="T127">
        <f t="shared" si="111"/>
        <v>0</v>
      </c>
      <c r="U127">
        <f>_xlfn.XLOOKUP(T127,'Order Page'!X$27:X$393,'Order Page'!U$27:U$393,"")</f>
        <v>0</v>
      </c>
      <c r="W127" t="str">
        <f t="shared" si="112"/>
        <v/>
      </c>
      <c r="X127" t="str">
        <f t="shared" si="113"/>
        <v/>
      </c>
      <c r="Y127" t="str">
        <f>_xlfn.XLOOKUP(T127,'Order Page'!X$27:X$393,'Order Page'!C$27:C$393,"")</f>
        <v>Acorus Calamus</v>
      </c>
      <c r="Z127" s="264"/>
      <c r="AA127">
        <v>124</v>
      </c>
      <c r="AB127" cm="1">
        <f t="array" ref="AB127">VLOOKUP(ROW(124:124),S$4:T$153,2)</f>
        <v>0</v>
      </c>
      <c r="AD127" t="str">
        <f t="shared" si="114"/>
        <v/>
      </c>
      <c r="AE127" t="e">
        <f t="shared" si="86"/>
        <v>#N/A</v>
      </c>
      <c r="AF127" t="str">
        <f t="shared" si="115"/>
        <v/>
      </c>
      <c r="AG127" t="str">
        <f>_xlfn.XLOOKUP(AB127,'Order Page'!X$27:X$393,'Order Page'!C$27:C$393,"")</f>
        <v>Acorus Calamus</v>
      </c>
      <c r="AH127">
        <f t="shared" si="116"/>
        <v>0</v>
      </c>
      <c r="AI127">
        <f t="shared" si="117"/>
        <v>0</v>
      </c>
      <c r="AJ127">
        <f t="shared" si="92"/>
        <v>0</v>
      </c>
      <c r="AK127">
        <f t="shared" si="87"/>
        <v>0</v>
      </c>
      <c r="AL127">
        <f>IF(OR(AD126&amp;AF126&lt;&gt;AD127&amp;AF127,AK127&lt;AK126),AK126,0)+MAX(AL$4:AL126)</f>
        <v>0</v>
      </c>
      <c r="AM127">
        <f t="shared" si="88"/>
        <v>0</v>
      </c>
      <c r="AO127" s="25" t="str">
        <f t="shared" si="89"/>
        <v/>
      </c>
      <c r="AP127" s="25" t="str">
        <f t="shared" si="118"/>
        <v/>
      </c>
      <c r="AQ127" t="str">
        <f t="shared" si="90"/>
        <v/>
      </c>
      <c r="AR127" t="str">
        <f t="shared" si="119"/>
        <v/>
      </c>
      <c r="AS127">
        <f t="shared" si="120"/>
        <v>0</v>
      </c>
      <c r="AT127">
        <f t="shared" si="91"/>
        <v>0</v>
      </c>
      <c r="AU127" t="str">
        <f>_xlfn.XLOOKUP(AB127,'Order Page'!X$24:X$378,'Order Page'!B$24:B$378,0)</f>
        <v>x6</v>
      </c>
      <c r="AV127">
        <f>_xlfn.XLOOKUP(AB127,'Order Page'!X$24:X$378,'Order Page'!O$24:O$378,0)</f>
        <v>38</v>
      </c>
      <c r="AW127" s="264"/>
    </row>
    <row r="128" spans="1:49" x14ac:dyDescent="0.25">
      <c r="A128">
        <v>10</v>
      </c>
      <c r="B128" t="e">
        <f t="shared" si="127"/>
        <v>#N/A</v>
      </c>
      <c r="D128" t="e">
        <f>IF(D$89-SUM(D$119:D127)-B128&gt;=0,B128,0)</f>
        <v>#N/A</v>
      </c>
      <c r="E128" t="e">
        <f>IF(COUNTIF(E$119:E127,"&lt;0")=0,IF(AND(D$135&gt;0,D128&gt;0,SUM(B$119:B$133)&lt;&gt;SUM(D$119:D$133),D$134&gt;0),-D128,0),IF(AND(D128=0,B128&gt;0),IF(D$135-SUM(E$119:E127)-B128&gt;=0,B128,0),0))</f>
        <v>#N/A</v>
      </c>
      <c r="F128" t="e">
        <f t="shared" si="128"/>
        <v>#N/A</v>
      </c>
      <c r="G128" t="e">
        <f>IF(F128&gt;0,F128*10+COUNTIF(F$119:F128,F128)+J109,0)</f>
        <v>#N/A</v>
      </c>
      <c r="H128" t="e">
        <f t="shared" si="130"/>
        <v>#N/A</v>
      </c>
      <c r="J128">
        <f t="shared" si="129"/>
        <v>30</v>
      </c>
      <c r="L128">
        <v>125</v>
      </c>
      <c r="M128">
        <f>_xlfn.XLOOKUP(L128,'Order Page'!X$27:X$393,'Order Page'!T$27:T$393,0)</f>
        <v>0</v>
      </c>
      <c r="N128">
        <f>_xlfn.XLOOKUP(L128,'Order Page'!X$27:X$393,'Order Page'!R$27:R$393,0)</f>
        <v>0</v>
      </c>
      <c r="O128" t="str">
        <f t="shared" si="109"/>
        <v/>
      </c>
      <c r="P128" t="str">
        <f t="shared" si="110"/>
        <v/>
      </c>
      <c r="Q128" s="263"/>
      <c r="R128">
        <v>125</v>
      </c>
      <c r="S128">
        <f t="shared" si="125"/>
        <v>1</v>
      </c>
      <c r="T128">
        <f t="shared" si="111"/>
        <v>0</v>
      </c>
      <c r="U128">
        <f>_xlfn.XLOOKUP(T128,'Order Page'!X$27:X$393,'Order Page'!U$27:U$393,"")</f>
        <v>0</v>
      </c>
      <c r="W128" t="str">
        <f t="shared" si="112"/>
        <v/>
      </c>
      <c r="X128" t="str">
        <f t="shared" si="113"/>
        <v/>
      </c>
      <c r="Y128" t="str">
        <f>_xlfn.XLOOKUP(T128,'Order Page'!X$27:X$393,'Order Page'!C$27:C$393,"")</f>
        <v>Acorus Calamus</v>
      </c>
      <c r="Z128" s="264"/>
      <c r="AA128">
        <v>125</v>
      </c>
      <c r="AB128" cm="1">
        <f t="array" ref="AB128">VLOOKUP(ROW(125:125),S$4:T$153,2)</f>
        <v>0</v>
      </c>
      <c r="AD128" t="str">
        <f t="shared" si="114"/>
        <v/>
      </c>
      <c r="AE128" t="e">
        <f t="shared" si="86"/>
        <v>#N/A</v>
      </c>
      <c r="AF128" t="str">
        <f t="shared" si="115"/>
        <v/>
      </c>
      <c r="AG128" t="str">
        <f>_xlfn.XLOOKUP(AB128,'Order Page'!X$27:X$393,'Order Page'!C$27:C$393,"")</f>
        <v>Acorus Calamus</v>
      </c>
      <c r="AH128">
        <f t="shared" si="116"/>
        <v>0</v>
      </c>
      <c r="AI128">
        <f t="shared" si="117"/>
        <v>0</v>
      </c>
      <c r="AJ128">
        <f t="shared" si="92"/>
        <v>0</v>
      </c>
      <c r="AK128">
        <f t="shared" si="87"/>
        <v>0</v>
      </c>
      <c r="AL128">
        <f>IF(OR(AD127&amp;AF127&lt;&gt;AD128&amp;AF128,AK128&lt;AK127),AK127,0)+MAX(AL$4:AL127)</f>
        <v>0</v>
      </c>
      <c r="AM128">
        <f t="shared" si="88"/>
        <v>0</v>
      </c>
      <c r="AO128" s="25" t="str">
        <f t="shared" si="89"/>
        <v/>
      </c>
      <c r="AP128" s="25" t="str">
        <f t="shared" si="118"/>
        <v/>
      </c>
      <c r="AQ128" t="str">
        <f t="shared" si="90"/>
        <v/>
      </c>
      <c r="AR128" t="str">
        <f t="shared" si="119"/>
        <v/>
      </c>
      <c r="AS128">
        <f t="shared" si="120"/>
        <v>0</v>
      </c>
      <c r="AT128">
        <f t="shared" si="91"/>
        <v>0</v>
      </c>
      <c r="AU128" t="str">
        <f>_xlfn.XLOOKUP(AB128,'Order Page'!X$24:X$378,'Order Page'!B$24:B$378,0)</f>
        <v>x6</v>
      </c>
      <c r="AV128">
        <f>_xlfn.XLOOKUP(AB128,'Order Page'!X$24:X$378,'Order Page'!O$24:O$378,0)</f>
        <v>38</v>
      </c>
      <c r="AW128" s="264"/>
    </row>
    <row r="129" spans="1:49" x14ac:dyDescent="0.25">
      <c r="A129">
        <v>11</v>
      </c>
      <c r="B129" t="e">
        <f t="shared" si="127"/>
        <v>#N/A</v>
      </c>
      <c r="D129" t="e">
        <f>IF(D$89-SUM(D$119:D128)-B129&gt;=0,B129,0)</f>
        <v>#N/A</v>
      </c>
      <c r="E129" t="e">
        <f>IF(COUNTIF(E$119:E128,"&lt;0")=0,IF(AND(D$135&gt;0,D129&gt;0,SUM(B$119:B$133)&lt;&gt;SUM(D$119:D$133),D$134&gt;0),-D129,0),IF(AND(D129=0,B129&gt;0),IF(D$135-SUM(E$119:E128)-B129&gt;=0,B129,0),0))</f>
        <v>#N/A</v>
      </c>
      <c r="F129" t="e">
        <f t="shared" si="128"/>
        <v>#N/A</v>
      </c>
      <c r="G129" t="e">
        <f>IF(F129&gt;0,F129*10+COUNTIF(F$119:F129,F129)+J110,0)</f>
        <v>#N/A</v>
      </c>
      <c r="H129" t="e">
        <f t="shared" si="130"/>
        <v>#N/A</v>
      </c>
      <c r="J129">
        <f t="shared" si="129"/>
        <v>30</v>
      </c>
      <c r="L129">
        <v>126</v>
      </c>
      <c r="M129">
        <f>_xlfn.XLOOKUP(L129,'Order Page'!X$27:X$393,'Order Page'!T$27:T$393,0)</f>
        <v>0</v>
      </c>
      <c r="N129">
        <f>_xlfn.XLOOKUP(L129,'Order Page'!X$27:X$393,'Order Page'!R$27:R$393,0)</f>
        <v>0</v>
      </c>
      <c r="O129" t="str">
        <f t="shared" si="109"/>
        <v/>
      </c>
      <c r="P129" t="str">
        <f t="shared" si="110"/>
        <v/>
      </c>
      <c r="Q129" s="263"/>
      <c r="R129">
        <v>126</v>
      </c>
      <c r="S129">
        <f t="shared" si="125"/>
        <v>1</v>
      </c>
      <c r="T129">
        <f t="shared" si="111"/>
        <v>0</v>
      </c>
      <c r="U129">
        <f>_xlfn.XLOOKUP(T129,'Order Page'!X$27:X$393,'Order Page'!U$27:U$393,"")</f>
        <v>0</v>
      </c>
      <c r="W129" t="str">
        <f t="shared" si="112"/>
        <v/>
      </c>
      <c r="X129" t="str">
        <f t="shared" si="113"/>
        <v/>
      </c>
      <c r="Y129" t="str">
        <f>_xlfn.XLOOKUP(T129,'Order Page'!X$27:X$393,'Order Page'!C$27:C$393,"")</f>
        <v>Acorus Calamus</v>
      </c>
      <c r="Z129" s="264"/>
      <c r="AA129">
        <v>126</v>
      </c>
      <c r="AB129" cm="1">
        <f t="array" ref="AB129">VLOOKUP(ROW(126:126),S$4:T$153,2)</f>
        <v>0</v>
      </c>
      <c r="AD129" t="str">
        <f t="shared" si="114"/>
        <v/>
      </c>
      <c r="AE129" t="e">
        <f t="shared" si="86"/>
        <v>#N/A</v>
      </c>
      <c r="AF129" t="str">
        <f t="shared" si="115"/>
        <v/>
      </c>
      <c r="AG129" t="str">
        <f>_xlfn.XLOOKUP(AB129,'Order Page'!X$27:X$393,'Order Page'!C$27:C$393,"")</f>
        <v>Acorus Calamus</v>
      </c>
      <c r="AH129">
        <f t="shared" si="116"/>
        <v>0</v>
      </c>
      <c r="AI129">
        <f t="shared" si="117"/>
        <v>0</v>
      </c>
      <c r="AJ129">
        <f t="shared" si="92"/>
        <v>0</v>
      </c>
      <c r="AK129">
        <f t="shared" si="87"/>
        <v>0</v>
      </c>
      <c r="AL129">
        <f>IF(OR(AD128&amp;AF128&lt;&gt;AD129&amp;AF129,AK129&lt;AK128),AK128,0)+MAX(AL$4:AL128)</f>
        <v>0</v>
      </c>
      <c r="AM129">
        <f t="shared" si="88"/>
        <v>0</v>
      </c>
      <c r="AO129" s="25" t="str">
        <f t="shared" si="89"/>
        <v/>
      </c>
      <c r="AP129" s="25" t="str">
        <f t="shared" si="118"/>
        <v/>
      </c>
      <c r="AQ129" t="str">
        <f t="shared" si="90"/>
        <v/>
      </c>
      <c r="AR129" t="str">
        <f t="shared" si="119"/>
        <v/>
      </c>
      <c r="AS129">
        <f t="shared" si="120"/>
        <v>0</v>
      </c>
      <c r="AT129">
        <f t="shared" si="91"/>
        <v>0</v>
      </c>
      <c r="AU129" t="str">
        <f>_xlfn.XLOOKUP(AB129,'Order Page'!X$24:X$378,'Order Page'!B$24:B$378,0)</f>
        <v>x6</v>
      </c>
      <c r="AV129">
        <f>_xlfn.XLOOKUP(AB129,'Order Page'!X$24:X$378,'Order Page'!O$24:O$378,0)</f>
        <v>38</v>
      </c>
      <c r="AW129" s="264"/>
    </row>
    <row r="130" spans="1:49" x14ac:dyDescent="0.25">
      <c r="A130">
        <v>12</v>
      </c>
      <c r="B130" t="e">
        <f t="shared" si="127"/>
        <v>#N/A</v>
      </c>
      <c r="D130" t="e">
        <f>IF(D$89-SUM(D$119:D129)-B130&gt;=0,B130,0)</f>
        <v>#N/A</v>
      </c>
      <c r="E130" t="e">
        <f>IF(COUNTIF(E$119:E129,"&lt;0")=0,IF(AND(D$135&gt;0,D130&gt;0,SUM(B$119:B$133)&lt;&gt;SUM(D$119:D$133),D$134&gt;0),-D130,0),IF(AND(D130=0,B130&gt;0),IF(D$135-SUM(E$119:E129)-B130&gt;=0,B130,0),0))</f>
        <v>#N/A</v>
      </c>
      <c r="F130" t="e">
        <f t="shared" si="128"/>
        <v>#N/A</v>
      </c>
      <c r="G130" t="e">
        <f>IF(F130&gt;0,F130*10+COUNTIF(F$119:F130,F130)+J111,0)</f>
        <v>#N/A</v>
      </c>
      <c r="H130" t="e">
        <f t="shared" si="130"/>
        <v>#N/A</v>
      </c>
      <c r="J130">
        <f t="shared" si="129"/>
        <v>30</v>
      </c>
      <c r="L130">
        <v>127</v>
      </c>
      <c r="M130">
        <f>_xlfn.XLOOKUP(L130,'Order Page'!X$27:X$393,'Order Page'!T$27:T$393,0)</f>
        <v>0</v>
      </c>
      <c r="N130">
        <f>_xlfn.XLOOKUP(L130,'Order Page'!X$27:X$393,'Order Page'!R$27:R$393,0)</f>
        <v>0</v>
      </c>
      <c r="O130" t="str">
        <f t="shared" si="109"/>
        <v/>
      </c>
      <c r="P130" t="str">
        <f t="shared" si="110"/>
        <v/>
      </c>
      <c r="Q130" s="263"/>
      <c r="R130">
        <v>127</v>
      </c>
      <c r="S130">
        <f t="shared" si="125"/>
        <v>1</v>
      </c>
      <c r="T130">
        <f t="shared" si="111"/>
        <v>0</v>
      </c>
      <c r="U130">
        <f>_xlfn.XLOOKUP(T130,'Order Page'!X$27:X$393,'Order Page'!U$27:U$393,"")</f>
        <v>0</v>
      </c>
      <c r="W130" t="str">
        <f t="shared" si="112"/>
        <v/>
      </c>
      <c r="X130" t="str">
        <f t="shared" si="113"/>
        <v/>
      </c>
      <c r="Y130" t="str">
        <f>_xlfn.XLOOKUP(T130,'Order Page'!X$27:X$393,'Order Page'!C$27:C$393,"")</f>
        <v>Acorus Calamus</v>
      </c>
      <c r="Z130" s="264"/>
      <c r="AA130">
        <v>127</v>
      </c>
      <c r="AB130" cm="1">
        <f t="array" ref="AB130">VLOOKUP(ROW(127:127),S$4:T$153,2)</f>
        <v>0</v>
      </c>
      <c r="AD130" t="str">
        <f t="shared" si="114"/>
        <v/>
      </c>
      <c r="AE130" t="e">
        <f t="shared" si="86"/>
        <v>#N/A</v>
      </c>
      <c r="AF130" t="str">
        <f t="shared" si="115"/>
        <v/>
      </c>
      <c r="AG130" t="str">
        <f>_xlfn.XLOOKUP(AB130,'Order Page'!X$27:X$393,'Order Page'!C$27:C$393,"")</f>
        <v>Acorus Calamus</v>
      </c>
      <c r="AH130">
        <f t="shared" si="116"/>
        <v>0</v>
      </c>
      <c r="AI130">
        <f t="shared" si="117"/>
        <v>0</v>
      </c>
      <c r="AJ130">
        <f t="shared" si="92"/>
        <v>0</v>
      </c>
      <c r="AK130">
        <f t="shared" si="87"/>
        <v>0</v>
      </c>
      <c r="AL130">
        <f>IF(OR(AD129&amp;AF129&lt;&gt;AD130&amp;AF130,AK130&lt;AK129),AK129,0)+MAX(AL$4:AL129)</f>
        <v>0</v>
      </c>
      <c r="AM130">
        <f t="shared" si="88"/>
        <v>0</v>
      </c>
      <c r="AO130" s="25" t="str">
        <f t="shared" si="89"/>
        <v/>
      </c>
      <c r="AP130" s="25" t="str">
        <f t="shared" si="118"/>
        <v/>
      </c>
      <c r="AQ130" t="str">
        <f t="shared" si="90"/>
        <v/>
      </c>
      <c r="AR130" t="str">
        <f t="shared" si="119"/>
        <v/>
      </c>
      <c r="AS130">
        <f t="shared" si="120"/>
        <v>0</v>
      </c>
      <c r="AT130">
        <f t="shared" si="91"/>
        <v>0</v>
      </c>
      <c r="AU130" t="str">
        <f>_xlfn.XLOOKUP(AB130,'Order Page'!X$24:X$378,'Order Page'!B$24:B$378,0)</f>
        <v>x6</v>
      </c>
      <c r="AV130">
        <f>_xlfn.XLOOKUP(AB130,'Order Page'!X$24:X$378,'Order Page'!O$24:O$378,0)</f>
        <v>38</v>
      </c>
      <c r="AW130" s="264"/>
    </row>
    <row r="131" spans="1:49" x14ac:dyDescent="0.25">
      <c r="A131">
        <v>13</v>
      </c>
      <c r="B131" t="e">
        <f t="shared" si="127"/>
        <v>#N/A</v>
      </c>
      <c r="D131" t="e">
        <f>IF(D$89-SUM(D$119:D130)-B131&gt;=0,B131,0)</f>
        <v>#N/A</v>
      </c>
      <c r="E131" t="e">
        <f>IF(COUNTIF(E$119:E130,"&lt;0")=0,IF(AND(D$135&gt;0,D131&gt;0,SUM(B$119:B$133)&lt;&gt;SUM(D$119:D$133),D$134&gt;0),-D131,0),IF(AND(D131=0,B131&gt;0),IF(D$135-SUM(E$119:E130)-B131&gt;=0,B131,0),0))</f>
        <v>#N/A</v>
      </c>
      <c r="F131" t="e">
        <f t="shared" si="128"/>
        <v>#N/A</v>
      </c>
      <c r="G131" t="e">
        <f>IF(F131&gt;0,F131*10+COUNTIF(F$119:F131,F131)+J112,0)</f>
        <v>#N/A</v>
      </c>
      <c r="H131" t="e">
        <f t="shared" si="130"/>
        <v>#N/A</v>
      </c>
      <c r="J131">
        <f t="shared" si="129"/>
        <v>30</v>
      </c>
      <c r="L131">
        <v>128</v>
      </c>
      <c r="M131">
        <f>_xlfn.XLOOKUP(L131,'Order Page'!X$27:X$393,'Order Page'!T$27:T$393,0)</f>
        <v>0</v>
      </c>
      <c r="N131">
        <f>_xlfn.XLOOKUP(L131,'Order Page'!X$27:X$393,'Order Page'!R$27:R$393,0)</f>
        <v>0</v>
      </c>
      <c r="O131" t="str">
        <f t="shared" si="109"/>
        <v/>
      </c>
      <c r="P131" t="str">
        <f t="shared" si="110"/>
        <v/>
      </c>
      <c r="Q131" s="263"/>
      <c r="R131">
        <v>128</v>
      </c>
      <c r="S131">
        <f t="shared" si="125"/>
        <v>1</v>
      </c>
      <c r="T131">
        <f t="shared" si="111"/>
        <v>0</v>
      </c>
      <c r="U131">
        <f>_xlfn.XLOOKUP(T131,'Order Page'!X$27:X$393,'Order Page'!U$27:U$393,"")</f>
        <v>0</v>
      </c>
      <c r="W131" t="str">
        <f t="shared" si="112"/>
        <v/>
      </c>
      <c r="X131" t="str">
        <f t="shared" si="113"/>
        <v/>
      </c>
      <c r="Y131" t="str">
        <f>_xlfn.XLOOKUP(T131,'Order Page'!X$27:X$393,'Order Page'!C$27:C$393,"")</f>
        <v>Acorus Calamus</v>
      </c>
      <c r="Z131" s="264"/>
      <c r="AA131">
        <v>128</v>
      </c>
      <c r="AB131" cm="1">
        <f t="array" ref="AB131">VLOOKUP(ROW(128:128),S$4:T$153,2)</f>
        <v>0</v>
      </c>
      <c r="AD131" t="str">
        <f t="shared" si="114"/>
        <v/>
      </c>
      <c r="AE131" t="e">
        <f t="shared" si="86"/>
        <v>#N/A</v>
      </c>
      <c r="AF131" t="str">
        <f t="shared" si="115"/>
        <v/>
      </c>
      <c r="AG131" t="str">
        <f>_xlfn.XLOOKUP(AB131,'Order Page'!X$27:X$393,'Order Page'!C$27:C$393,"")</f>
        <v>Acorus Calamus</v>
      </c>
      <c r="AH131">
        <f t="shared" si="116"/>
        <v>0</v>
      </c>
      <c r="AI131">
        <f t="shared" si="117"/>
        <v>0</v>
      </c>
      <c r="AJ131">
        <f t="shared" si="92"/>
        <v>0</v>
      </c>
      <c r="AK131">
        <f t="shared" si="87"/>
        <v>0</v>
      </c>
      <c r="AL131">
        <f>IF(OR(AD130&amp;AF130&lt;&gt;AD131&amp;AF131,AK131&lt;AK130),AK130,0)+MAX(AL$4:AL130)</f>
        <v>0</v>
      </c>
      <c r="AM131">
        <f t="shared" si="88"/>
        <v>0</v>
      </c>
      <c r="AO131" s="25" t="str">
        <f t="shared" si="89"/>
        <v/>
      </c>
      <c r="AP131" s="25" t="str">
        <f t="shared" si="118"/>
        <v/>
      </c>
      <c r="AQ131" t="str">
        <f t="shared" si="90"/>
        <v/>
      </c>
      <c r="AR131" t="str">
        <f t="shared" si="119"/>
        <v/>
      </c>
      <c r="AS131">
        <f t="shared" si="120"/>
        <v>0</v>
      </c>
      <c r="AT131">
        <f t="shared" si="91"/>
        <v>0</v>
      </c>
      <c r="AU131" t="str">
        <f>_xlfn.XLOOKUP(AB131,'Order Page'!X$24:X$378,'Order Page'!B$24:B$378,0)</f>
        <v>x6</v>
      </c>
      <c r="AV131">
        <f>_xlfn.XLOOKUP(AB131,'Order Page'!X$24:X$378,'Order Page'!O$24:O$378,0)</f>
        <v>38</v>
      </c>
      <c r="AW131" s="264"/>
    </row>
    <row r="132" spans="1:49" x14ac:dyDescent="0.25">
      <c r="A132">
        <v>14</v>
      </c>
      <c r="B132" t="e">
        <f t="shared" si="127"/>
        <v>#N/A</v>
      </c>
      <c r="D132" t="e">
        <f>IF(D$89-SUM(D$119:D131)-B132&gt;=0,B132,0)</f>
        <v>#N/A</v>
      </c>
      <c r="E132" t="e">
        <f>IF(COUNTIF(E$119:E131,"&lt;0")=0,IF(AND(D$135&gt;0,D132&gt;0,SUM(B$119:B$133)&lt;&gt;SUM(D$119:D$133),D$134&gt;0),-D132,0),IF(AND(D132=0,B132&gt;0),IF(D$135-SUM(E$119:E131)-B132&gt;=0,B132,0),0))</f>
        <v>#N/A</v>
      </c>
      <c r="F132" t="e">
        <f t="shared" si="128"/>
        <v>#N/A</v>
      </c>
      <c r="G132" t="e">
        <f>IF(F132&gt;0,F132*10+COUNTIF(F$119:F132,F132)+J113,0)</f>
        <v>#N/A</v>
      </c>
      <c r="H132" t="e">
        <f t="shared" si="130"/>
        <v>#N/A</v>
      </c>
      <c r="J132">
        <f t="shared" si="129"/>
        <v>30</v>
      </c>
      <c r="L132">
        <v>129</v>
      </c>
      <c r="M132">
        <f>_xlfn.XLOOKUP(L132,'Order Page'!X$27:X$393,'Order Page'!T$27:T$393,0)</f>
        <v>0</v>
      </c>
      <c r="N132">
        <f>_xlfn.XLOOKUP(L132,'Order Page'!X$27:X$393,'Order Page'!R$27:R$393,0)</f>
        <v>0</v>
      </c>
      <c r="O132" t="str">
        <f t="shared" ref="O132:O153" si="131">IF(M132&lt;&gt;0,_xlfn.XLOOKUP(M132,B$38:B$46,C$38:C$46,"")+_xlfn.XLOOKUP(N132,G$38:G$45,H$38:H$45,0)+L132,"")</f>
        <v/>
      </c>
      <c r="P132" t="str">
        <f t="shared" ref="P132:P153" si="132">IFERROR(IF(O132&gt;0,RANK(O132,O$4:O$154,1)-1,0),"")</f>
        <v/>
      </c>
      <c r="Q132" s="263"/>
      <c r="R132">
        <v>129</v>
      </c>
      <c r="S132">
        <f t="shared" si="125"/>
        <v>1</v>
      </c>
      <c r="T132">
        <f t="shared" ref="T132:T153" si="133">_xlfn.XLOOKUP(R132,P$4:P$153,L$4:L$153,0)</f>
        <v>0</v>
      </c>
      <c r="U132">
        <f>_xlfn.XLOOKUP(T132,'Order Page'!X$27:X$393,'Order Page'!U$27:U$393,"")</f>
        <v>0</v>
      </c>
      <c r="W132" t="str">
        <f t="shared" ref="W132:W153" si="134">_xlfn.XLOOKUP(T132,L$4:L$153,M$4:M$153,"")</f>
        <v/>
      </c>
      <c r="X132" t="str">
        <f t="shared" ref="X132:X153" si="135">_xlfn.XLOOKUP(T132,L$4:L$153,N$4:N$153,"")</f>
        <v/>
      </c>
      <c r="Y132" t="str">
        <f>_xlfn.XLOOKUP(T132,'Order Page'!X$27:X$393,'Order Page'!C$27:C$393,"")</f>
        <v>Acorus Calamus</v>
      </c>
      <c r="Z132" s="264"/>
      <c r="AA132">
        <v>129</v>
      </c>
      <c r="AB132" cm="1">
        <f t="array" ref="AB132">VLOOKUP(ROW(129:129),S$4:T$153,2)</f>
        <v>0</v>
      </c>
      <c r="AD132" t="str">
        <f t="shared" ref="AD132:AD163" si="136">_xlfn.XLOOKUP(AB132,L$4:L$153,M$4:M$153,"")</f>
        <v/>
      </c>
      <c r="AE132" t="e">
        <f t="shared" si="86"/>
        <v>#N/A</v>
      </c>
      <c r="AF132" t="str">
        <f t="shared" ref="AF132:AF163" si="137">_xlfn.XLOOKUP(AB132,L$4:L$153,N$4:N$153,"")</f>
        <v/>
      </c>
      <c r="AG132" t="str">
        <f>_xlfn.XLOOKUP(AB132,'Order Page'!X$27:X$393,'Order Page'!C$27:C$393,"")</f>
        <v>Acorus Calamus</v>
      </c>
      <c r="AH132">
        <f t="shared" ref="AH132:AH163" si="138">_xlfn.XLOOKUP(AD132&amp;AF132,E$5:E$35,H$5:H$35,0)</f>
        <v>0</v>
      </c>
      <c r="AI132">
        <f t="shared" ref="AI132:AI163" si="139">_xlfn.XLOOKUP(AD132,B$5:B$35,D$5:D$35,0)</f>
        <v>0</v>
      </c>
      <c r="AJ132">
        <f t="shared" si="92"/>
        <v>0</v>
      </c>
      <c r="AK132">
        <f t="shared" si="87"/>
        <v>0</v>
      </c>
      <c r="AL132">
        <f>IF(OR(AD131&amp;AF131&lt;&gt;AD132&amp;AF132,AK132&lt;AK131),AK131,0)+MAX(AL$4:AL131)</f>
        <v>0</v>
      </c>
      <c r="AM132">
        <f t="shared" si="88"/>
        <v>0</v>
      </c>
      <c r="AO132" s="25" t="str">
        <f t="shared" si="89"/>
        <v/>
      </c>
      <c r="AP132" s="25" t="str">
        <f t="shared" ref="AP132:AP163" si="140">IF(AND(AO132="Y",OR(AD132="Waterlily",AD132="Planted Contour Basket Standard",AD132="Planted Contour Basket Premium")),"Y","")</f>
        <v/>
      </c>
      <c r="AQ132" t="str">
        <f t="shared" si="90"/>
        <v/>
      </c>
      <c r="AR132" t="str">
        <f t="shared" ref="AR132:AR163" si="141">IFERROR(IF(AQ132&gt;0,RANK(AQ132,AQ$4:AQ$203,1),0)-AM$2,"")</f>
        <v/>
      </c>
      <c r="AS132">
        <f t="shared" ref="AS132:AS163" si="142">AM132+IF(AR132&lt;1,_xlfn.XLOOKUP(AR132,AX$4:AX$16,BE$4:BE$16,0))+IF(AR132&gt;0,_xlfn.XLOOKUP(AR132,AX$22:AX$103,BN$22:BN$103,0),0)</f>
        <v>0</v>
      </c>
      <c r="AT132">
        <f t="shared" si="91"/>
        <v>0</v>
      </c>
      <c r="AU132" t="str">
        <f>_xlfn.XLOOKUP(AB132,'Order Page'!X$24:X$378,'Order Page'!B$24:B$378,0)</f>
        <v>x6</v>
      </c>
      <c r="AV132">
        <f>_xlfn.XLOOKUP(AB132,'Order Page'!X$24:X$378,'Order Page'!O$24:O$378,0)</f>
        <v>38</v>
      </c>
      <c r="AW132" s="264"/>
    </row>
    <row r="133" spans="1:49" x14ac:dyDescent="0.25">
      <c r="A133">
        <v>15</v>
      </c>
      <c r="B133" t="e">
        <f t="shared" si="127"/>
        <v>#N/A</v>
      </c>
      <c r="D133" t="e">
        <f>IF(D$89-SUM(D$119:D132)-B133&gt;=0,B133,0)</f>
        <v>#N/A</v>
      </c>
      <c r="E133" t="e">
        <f>IF(COUNTIF(E$119:E132,"&lt;0")=0,IF(AND(D$135&gt;0,D133&gt;0,SUM(B$119:B$133)&lt;&gt;SUM(D$119:D$133),D$134&gt;0),-D133,0),IF(AND(D133=0,B133&gt;0),IF(D$135-SUM(E$119:E132)-B133&gt;=0,B133,0),0))</f>
        <v>#N/A</v>
      </c>
      <c r="F133" t="e">
        <f t="shared" si="128"/>
        <v>#N/A</v>
      </c>
      <c r="G133" t="e">
        <f>IF(F133&gt;0,F133*10+COUNTIF(F$119:F133,F133)+J114,0)</f>
        <v>#N/A</v>
      </c>
      <c r="H133" t="e">
        <f t="shared" si="130"/>
        <v>#N/A</v>
      </c>
      <c r="J133">
        <f t="shared" si="129"/>
        <v>30</v>
      </c>
      <c r="L133">
        <v>130</v>
      </c>
      <c r="M133">
        <f>_xlfn.XLOOKUP(L133,'Order Page'!X$27:X$393,'Order Page'!T$27:T$393,0)</f>
        <v>0</v>
      </c>
      <c r="N133">
        <f>_xlfn.XLOOKUP(L133,'Order Page'!X$27:X$393,'Order Page'!R$27:R$393,0)</f>
        <v>0</v>
      </c>
      <c r="O133" t="str">
        <f t="shared" si="131"/>
        <v/>
      </c>
      <c r="P133" t="str">
        <f t="shared" si="132"/>
        <v/>
      </c>
      <c r="Q133" s="263"/>
      <c r="R133">
        <v>130</v>
      </c>
      <c r="S133">
        <f t="shared" ref="S133:S153" si="143">S132+U132</f>
        <v>1</v>
      </c>
      <c r="T133">
        <f t="shared" si="133"/>
        <v>0</v>
      </c>
      <c r="U133">
        <f>_xlfn.XLOOKUP(T133,'Order Page'!X$27:X$393,'Order Page'!U$27:U$393,"")</f>
        <v>0</v>
      </c>
      <c r="W133" t="str">
        <f t="shared" si="134"/>
        <v/>
      </c>
      <c r="X133" t="str">
        <f t="shared" si="135"/>
        <v/>
      </c>
      <c r="Y133" t="str">
        <f>_xlfn.XLOOKUP(T133,'Order Page'!X$27:X$393,'Order Page'!C$27:C$393,"")</f>
        <v>Acorus Calamus</v>
      </c>
      <c r="Z133" s="264"/>
      <c r="AA133">
        <v>130</v>
      </c>
      <c r="AB133" cm="1">
        <f t="array" ref="AB133">VLOOKUP(ROW(130:130),S$4:T$153,2)</f>
        <v>0</v>
      </c>
      <c r="AD133" t="str">
        <f t="shared" si="136"/>
        <v/>
      </c>
      <c r="AE133" t="e">
        <f t="shared" ref="AE133:AE196" si="144">_xlfn.XLOOKUP(AD133,B$5:B$33,J$5:J$33)</f>
        <v>#N/A</v>
      </c>
      <c r="AF133" t="str">
        <f t="shared" si="137"/>
        <v/>
      </c>
      <c r="AG133" t="str">
        <f>_xlfn.XLOOKUP(AB133,'Order Page'!X$27:X$393,'Order Page'!C$27:C$393,"")</f>
        <v>Acorus Calamus</v>
      </c>
      <c r="AH133">
        <f t="shared" si="138"/>
        <v>0</v>
      </c>
      <c r="AI133">
        <f t="shared" si="139"/>
        <v>0</v>
      </c>
      <c r="AJ133">
        <f t="shared" si="92"/>
        <v>0</v>
      </c>
      <c r="AK133">
        <f t="shared" ref="AK133:AK196" si="145">IF(AJ133&lt;AH133+0.001,ROUNDUP(AJ133,0),0)</f>
        <v>0</v>
      </c>
      <c r="AL133">
        <f>IF(OR(AD132&amp;AF132&lt;&gt;AD133&amp;AF133,AK133&lt;AK132),AK132,0)+MAX(AL$4:AL132)</f>
        <v>0</v>
      </c>
      <c r="AM133">
        <f t="shared" ref="AM133:AM196" si="146">IF(AK133&gt;0,AK133+AL133,0)</f>
        <v>0</v>
      </c>
      <c r="AO133" s="25" t="str">
        <f t="shared" ref="AO133:AO196" si="147">IF(AND(AM133=0,AI133&gt;0),"Y","")</f>
        <v/>
      </c>
      <c r="AP133" s="25" t="str">
        <f t="shared" si="140"/>
        <v/>
      </c>
      <c r="AQ133" t="str">
        <f t="shared" ref="AQ133:AQ196" si="148">IF(AO133="Y",IF(AD133="Waterlily",1000,IF(OR(AD133="Planted Contour Basket Standard", AD133="Planted Contour Basket Premium"),2000,(100-AF133)*100))+AA133,"")</f>
        <v/>
      </c>
      <c r="AR133" t="str">
        <f t="shared" si="141"/>
        <v/>
      </c>
      <c r="AS133">
        <f t="shared" si="142"/>
        <v>0</v>
      </c>
      <c r="AT133">
        <f t="shared" ref="AT133:AT196" si="149">_xlfn.XLOOKUP(AS133,A$218:A$237,I$218:I$237,0)</f>
        <v>0</v>
      </c>
      <c r="AU133" t="str">
        <f>_xlfn.XLOOKUP(AB133,'Order Page'!X$24:X$378,'Order Page'!B$24:B$378,0)</f>
        <v>x6</v>
      </c>
      <c r="AV133">
        <f>_xlfn.XLOOKUP(AB133,'Order Page'!X$24:X$378,'Order Page'!O$24:O$378,0)</f>
        <v>38</v>
      </c>
      <c r="AW133" s="264"/>
    </row>
    <row r="134" spans="1:49" x14ac:dyDescent="0.25">
      <c r="D134">
        <f>C$98-COUNTIF(D100:D114,"&gt;"&amp;0)-COUNTIF(D119:D133,"&gt;"&amp;0)</f>
        <v>0</v>
      </c>
      <c r="L134">
        <v>131</v>
      </c>
      <c r="M134">
        <f>_xlfn.XLOOKUP(L134,'Order Page'!X$27:X$393,'Order Page'!T$27:T$393,0)</f>
        <v>0</v>
      </c>
      <c r="N134">
        <f>_xlfn.XLOOKUP(L134,'Order Page'!X$27:X$393,'Order Page'!R$27:R$393,0)</f>
        <v>0</v>
      </c>
      <c r="O134" t="str">
        <f t="shared" si="131"/>
        <v/>
      </c>
      <c r="P134" t="str">
        <f t="shared" si="132"/>
        <v/>
      </c>
      <c r="Q134" s="263"/>
      <c r="R134">
        <v>131</v>
      </c>
      <c r="S134">
        <f t="shared" si="143"/>
        <v>1</v>
      </c>
      <c r="T134">
        <f t="shared" si="133"/>
        <v>0</v>
      </c>
      <c r="U134">
        <f>_xlfn.XLOOKUP(T134,'Order Page'!X$27:X$393,'Order Page'!U$27:U$393,"")</f>
        <v>0</v>
      </c>
      <c r="W134" t="str">
        <f t="shared" si="134"/>
        <v/>
      </c>
      <c r="X134" t="str">
        <f t="shared" si="135"/>
        <v/>
      </c>
      <c r="Y134" t="str">
        <f>_xlfn.XLOOKUP(T134,'Order Page'!X$27:X$393,'Order Page'!C$27:C$393,"")</f>
        <v>Acorus Calamus</v>
      </c>
      <c r="Z134" s="264"/>
      <c r="AA134">
        <v>131</v>
      </c>
      <c r="AB134" cm="1">
        <f t="array" ref="AB134">VLOOKUP(ROW(131:131),S$4:T$153,2)</f>
        <v>0</v>
      </c>
      <c r="AD134" t="str">
        <f t="shared" si="136"/>
        <v/>
      </c>
      <c r="AE134" t="e">
        <f t="shared" si="144"/>
        <v>#N/A</v>
      </c>
      <c r="AF134" t="str">
        <f t="shared" si="137"/>
        <v/>
      </c>
      <c r="AG134" t="str">
        <f>_xlfn.XLOOKUP(AB134,'Order Page'!X$27:X$393,'Order Page'!C$27:C$393,"")</f>
        <v>Acorus Calamus</v>
      </c>
      <c r="AH134">
        <f t="shared" si="138"/>
        <v>0</v>
      </c>
      <c r="AI134">
        <f t="shared" si="139"/>
        <v>0</v>
      </c>
      <c r="AJ134">
        <f t="shared" ref="AJ134:AJ197" si="150">IF(AND(AD134&amp;AF134=AD133&amp;AF133,AH134&gt;0),AJ133+AI134,IF(AH134&gt;0,AI134,0))</f>
        <v>0</v>
      </c>
      <c r="AK134">
        <f t="shared" si="145"/>
        <v>0</v>
      </c>
      <c r="AL134">
        <f>IF(OR(AD133&amp;AF133&lt;&gt;AD134&amp;AF134,AK134&lt;AK133),AK133,0)+MAX(AL$4:AL133)</f>
        <v>0</v>
      </c>
      <c r="AM134">
        <f t="shared" si="146"/>
        <v>0</v>
      </c>
      <c r="AO134" s="25" t="str">
        <f t="shared" si="147"/>
        <v/>
      </c>
      <c r="AP134" s="25" t="str">
        <f t="shared" si="140"/>
        <v/>
      </c>
      <c r="AQ134" t="str">
        <f t="shared" si="148"/>
        <v/>
      </c>
      <c r="AR134" t="str">
        <f t="shared" si="141"/>
        <v/>
      </c>
      <c r="AS134">
        <f t="shared" si="142"/>
        <v>0</v>
      </c>
      <c r="AT134">
        <f t="shared" si="149"/>
        <v>0</v>
      </c>
      <c r="AU134" t="str">
        <f>_xlfn.XLOOKUP(AB134,'Order Page'!X$24:X$378,'Order Page'!B$24:B$378,0)</f>
        <v>x6</v>
      </c>
      <c r="AV134">
        <f>_xlfn.XLOOKUP(AB134,'Order Page'!X$24:X$378,'Order Page'!O$24:O$378,0)</f>
        <v>38</v>
      </c>
      <c r="AW134" s="264"/>
    </row>
    <row r="135" spans="1:49" x14ac:dyDescent="0.25">
      <c r="A135" t="s">
        <v>701</v>
      </c>
      <c r="D135" t="e">
        <f>D89-SUM(D119:D133)</f>
        <v>#N/A</v>
      </c>
      <c r="E135" t="e">
        <f>D135-SUM(E119:E133)</f>
        <v>#N/A</v>
      </c>
      <c r="L135">
        <v>132</v>
      </c>
      <c r="M135">
        <f>_xlfn.XLOOKUP(L135,'Order Page'!X$27:X$393,'Order Page'!T$27:T$393,0)</f>
        <v>0</v>
      </c>
      <c r="N135">
        <f>_xlfn.XLOOKUP(L135,'Order Page'!X$27:X$393,'Order Page'!R$27:R$393,0)</f>
        <v>0</v>
      </c>
      <c r="O135" t="str">
        <f t="shared" si="131"/>
        <v/>
      </c>
      <c r="P135" t="str">
        <f t="shared" si="132"/>
        <v/>
      </c>
      <c r="Q135" s="263"/>
      <c r="R135">
        <v>132</v>
      </c>
      <c r="S135">
        <f t="shared" si="143"/>
        <v>1</v>
      </c>
      <c r="T135">
        <f t="shared" si="133"/>
        <v>0</v>
      </c>
      <c r="U135">
        <f>_xlfn.XLOOKUP(T135,'Order Page'!X$27:X$393,'Order Page'!U$27:U$393,"")</f>
        <v>0</v>
      </c>
      <c r="W135" t="str">
        <f t="shared" si="134"/>
        <v/>
      </c>
      <c r="X135" t="str">
        <f t="shared" si="135"/>
        <v/>
      </c>
      <c r="Y135" t="str">
        <f>_xlfn.XLOOKUP(T135,'Order Page'!X$27:X$393,'Order Page'!C$27:C$393,"")</f>
        <v>Acorus Calamus</v>
      </c>
      <c r="Z135" s="264"/>
      <c r="AA135">
        <v>132</v>
      </c>
      <c r="AB135" cm="1">
        <f t="array" ref="AB135">VLOOKUP(ROW(132:132),S$4:T$153,2)</f>
        <v>0</v>
      </c>
      <c r="AD135" t="str">
        <f t="shared" si="136"/>
        <v/>
      </c>
      <c r="AE135" t="e">
        <f t="shared" si="144"/>
        <v>#N/A</v>
      </c>
      <c r="AF135" t="str">
        <f t="shared" si="137"/>
        <v/>
      </c>
      <c r="AG135" t="str">
        <f>_xlfn.XLOOKUP(AB135,'Order Page'!X$27:X$393,'Order Page'!C$27:C$393,"")</f>
        <v>Acorus Calamus</v>
      </c>
      <c r="AH135">
        <f t="shared" si="138"/>
        <v>0</v>
      </c>
      <c r="AI135">
        <f t="shared" si="139"/>
        <v>0</v>
      </c>
      <c r="AJ135">
        <f t="shared" si="150"/>
        <v>0</v>
      </c>
      <c r="AK135">
        <f t="shared" si="145"/>
        <v>0</v>
      </c>
      <c r="AL135">
        <f>IF(OR(AD134&amp;AF134&lt;&gt;AD135&amp;AF135,AK135&lt;AK134),AK134,0)+MAX(AL$4:AL134)</f>
        <v>0</v>
      </c>
      <c r="AM135">
        <f t="shared" si="146"/>
        <v>0</v>
      </c>
      <c r="AO135" s="25" t="str">
        <f t="shared" si="147"/>
        <v/>
      </c>
      <c r="AP135" s="25" t="str">
        <f t="shared" si="140"/>
        <v/>
      </c>
      <c r="AQ135" t="str">
        <f t="shared" si="148"/>
        <v/>
      </c>
      <c r="AR135" t="str">
        <f t="shared" si="141"/>
        <v/>
      </c>
      <c r="AS135">
        <f t="shared" si="142"/>
        <v>0</v>
      </c>
      <c r="AT135">
        <f t="shared" si="149"/>
        <v>0</v>
      </c>
      <c r="AU135" t="str">
        <f>_xlfn.XLOOKUP(AB135,'Order Page'!X$24:X$378,'Order Page'!B$24:B$378,0)</f>
        <v>x6</v>
      </c>
      <c r="AV135">
        <f>_xlfn.XLOOKUP(AB135,'Order Page'!X$24:X$378,'Order Page'!O$24:O$378,0)</f>
        <v>38</v>
      </c>
      <c r="AW135" s="264"/>
    </row>
    <row r="136" spans="1:49" x14ac:dyDescent="0.25">
      <c r="L136">
        <v>133</v>
      </c>
      <c r="M136">
        <f>_xlfn.XLOOKUP(L136,'Order Page'!X$27:X$393,'Order Page'!T$27:T$393,0)</f>
        <v>0</v>
      </c>
      <c r="N136">
        <f>_xlfn.XLOOKUP(L136,'Order Page'!X$27:X$393,'Order Page'!R$27:R$393,0)</f>
        <v>0</v>
      </c>
      <c r="O136" t="str">
        <f t="shared" si="131"/>
        <v/>
      </c>
      <c r="P136" t="str">
        <f t="shared" si="132"/>
        <v/>
      </c>
      <c r="Q136" s="263"/>
      <c r="R136">
        <v>133</v>
      </c>
      <c r="S136">
        <f t="shared" si="143"/>
        <v>1</v>
      </c>
      <c r="T136">
        <f t="shared" si="133"/>
        <v>0</v>
      </c>
      <c r="U136">
        <f>_xlfn.XLOOKUP(T136,'Order Page'!X$27:X$393,'Order Page'!U$27:U$393,"")</f>
        <v>0</v>
      </c>
      <c r="W136" t="str">
        <f t="shared" si="134"/>
        <v/>
      </c>
      <c r="X136" t="str">
        <f t="shared" si="135"/>
        <v/>
      </c>
      <c r="Y136" t="str">
        <f>_xlfn.XLOOKUP(T136,'Order Page'!X$27:X$393,'Order Page'!C$27:C$393,"")</f>
        <v>Acorus Calamus</v>
      </c>
      <c r="Z136" s="264"/>
      <c r="AA136">
        <v>133</v>
      </c>
      <c r="AB136" cm="1">
        <f t="array" ref="AB136">VLOOKUP(ROW(133:133),S$4:T$153,2)</f>
        <v>0</v>
      </c>
      <c r="AD136" t="str">
        <f t="shared" si="136"/>
        <v/>
      </c>
      <c r="AE136" t="e">
        <f t="shared" si="144"/>
        <v>#N/A</v>
      </c>
      <c r="AF136" t="str">
        <f t="shared" si="137"/>
        <v/>
      </c>
      <c r="AG136" t="str">
        <f>_xlfn.XLOOKUP(AB136,'Order Page'!X$27:X$393,'Order Page'!C$27:C$393,"")</f>
        <v>Acorus Calamus</v>
      </c>
      <c r="AH136">
        <f t="shared" si="138"/>
        <v>0</v>
      </c>
      <c r="AI136">
        <f t="shared" si="139"/>
        <v>0</v>
      </c>
      <c r="AJ136">
        <f t="shared" si="150"/>
        <v>0</v>
      </c>
      <c r="AK136">
        <f t="shared" si="145"/>
        <v>0</v>
      </c>
      <c r="AL136">
        <f>IF(OR(AD135&amp;AF135&lt;&gt;AD136&amp;AF136,AK136&lt;AK135),AK135,0)+MAX(AL$4:AL135)</f>
        <v>0</v>
      </c>
      <c r="AM136">
        <f t="shared" si="146"/>
        <v>0</v>
      </c>
      <c r="AO136" s="25" t="str">
        <f t="shared" si="147"/>
        <v/>
      </c>
      <c r="AP136" s="25" t="str">
        <f t="shared" si="140"/>
        <v/>
      </c>
      <c r="AQ136" t="str">
        <f t="shared" si="148"/>
        <v/>
      </c>
      <c r="AR136" t="str">
        <f t="shared" si="141"/>
        <v/>
      </c>
      <c r="AS136">
        <f t="shared" si="142"/>
        <v>0</v>
      </c>
      <c r="AT136">
        <f t="shared" si="149"/>
        <v>0</v>
      </c>
      <c r="AU136" t="str">
        <f>_xlfn.XLOOKUP(AB136,'Order Page'!X$24:X$378,'Order Page'!B$24:B$378,0)</f>
        <v>x6</v>
      </c>
      <c r="AV136">
        <f>_xlfn.XLOOKUP(AB136,'Order Page'!X$24:X$378,'Order Page'!O$24:O$378,0)</f>
        <v>38</v>
      </c>
      <c r="AW136" s="264"/>
    </row>
    <row r="137" spans="1:49" x14ac:dyDescent="0.25">
      <c r="A137" s="21" t="s">
        <v>703</v>
      </c>
      <c r="E137" t="s">
        <v>699</v>
      </c>
      <c r="F137" t="s">
        <v>702</v>
      </c>
      <c r="G137" t="s">
        <v>700</v>
      </c>
      <c r="H137" t="s">
        <v>611</v>
      </c>
      <c r="L137">
        <v>134</v>
      </c>
      <c r="M137">
        <f>_xlfn.XLOOKUP(L137,'Order Page'!X$27:X$393,'Order Page'!T$27:T$393,0)</f>
        <v>0</v>
      </c>
      <c r="N137">
        <f>_xlfn.XLOOKUP(L137,'Order Page'!X$27:X$393,'Order Page'!R$27:R$393,0)</f>
        <v>0</v>
      </c>
      <c r="O137" t="str">
        <f t="shared" si="131"/>
        <v/>
      </c>
      <c r="P137" t="str">
        <f t="shared" si="132"/>
        <v/>
      </c>
      <c r="Q137" s="263"/>
      <c r="R137">
        <v>134</v>
      </c>
      <c r="S137">
        <f t="shared" si="143"/>
        <v>1</v>
      </c>
      <c r="T137">
        <f t="shared" si="133"/>
        <v>0</v>
      </c>
      <c r="U137">
        <f>_xlfn.XLOOKUP(T137,'Order Page'!X$27:X$393,'Order Page'!U$27:U$393,"")</f>
        <v>0</v>
      </c>
      <c r="W137" t="str">
        <f t="shared" si="134"/>
        <v/>
      </c>
      <c r="X137" t="str">
        <f t="shared" si="135"/>
        <v/>
      </c>
      <c r="Y137" t="str">
        <f>_xlfn.XLOOKUP(T137,'Order Page'!X$27:X$393,'Order Page'!C$27:C$393,"")</f>
        <v>Acorus Calamus</v>
      </c>
      <c r="Z137" s="264"/>
      <c r="AA137">
        <v>134</v>
      </c>
      <c r="AB137" cm="1">
        <f t="array" ref="AB137">VLOOKUP(ROW(134:134),S$4:T$153,2)</f>
        <v>0</v>
      </c>
      <c r="AD137" t="str">
        <f t="shared" si="136"/>
        <v/>
      </c>
      <c r="AE137" t="e">
        <f t="shared" si="144"/>
        <v>#N/A</v>
      </c>
      <c r="AF137" t="str">
        <f t="shared" si="137"/>
        <v/>
      </c>
      <c r="AG137" t="str">
        <f>_xlfn.XLOOKUP(AB137,'Order Page'!X$27:X$393,'Order Page'!C$27:C$393,"")</f>
        <v>Acorus Calamus</v>
      </c>
      <c r="AH137">
        <f t="shared" si="138"/>
        <v>0</v>
      </c>
      <c r="AI137">
        <f t="shared" si="139"/>
        <v>0</v>
      </c>
      <c r="AJ137">
        <f t="shared" si="150"/>
        <v>0</v>
      </c>
      <c r="AK137">
        <f t="shared" si="145"/>
        <v>0</v>
      </c>
      <c r="AL137">
        <f>IF(OR(AD136&amp;AF136&lt;&gt;AD137&amp;AF137,AK137&lt;AK136),AK136,0)+MAX(AL$4:AL136)</f>
        <v>0</v>
      </c>
      <c r="AM137">
        <f t="shared" si="146"/>
        <v>0</v>
      </c>
      <c r="AO137" s="25" t="str">
        <f t="shared" si="147"/>
        <v/>
      </c>
      <c r="AP137" s="25" t="str">
        <f t="shared" si="140"/>
        <v/>
      </c>
      <c r="AQ137" t="str">
        <f t="shared" si="148"/>
        <v/>
      </c>
      <c r="AR137" t="str">
        <f t="shared" si="141"/>
        <v/>
      </c>
      <c r="AS137">
        <f t="shared" si="142"/>
        <v>0</v>
      </c>
      <c r="AT137">
        <f t="shared" si="149"/>
        <v>0</v>
      </c>
      <c r="AU137" t="str">
        <f>_xlfn.XLOOKUP(AB137,'Order Page'!X$24:X$378,'Order Page'!B$24:B$378,0)</f>
        <v>x6</v>
      </c>
      <c r="AV137">
        <f>_xlfn.XLOOKUP(AB137,'Order Page'!X$24:X$378,'Order Page'!O$24:O$378,0)</f>
        <v>38</v>
      </c>
      <c r="AW137" s="264"/>
    </row>
    <row r="138" spans="1:49" x14ac:dyDescent="0.25">
      <c r="A138">
        <v>1</v>
      </c>
      <c r="B138" t="e">
        <f>IF(AND(H119=0,B119&gt;0),B119,0)</f>
        <v>#N/A</v>
      </c>
      <c r="D138" t="e">
        <f>IF(E$89-B138&gt;=0,B138,0)</f>
        <v>#N/A</v>
      </c>
      <c r="E138" t="e">
        <f>IF(AND(D154&gt;0,D138&gt;0,SUM(B$138:B$152)&lt;&gt;SUM(D$138:D$152)),-D138,0)</f>
        <v>#N/A</v>
      </c>
      <c r="F138" t="e">
        <f>D138+E138</f>
        <v>#N/A</v>
      </c>
      <c r="G138" t="e">
        <f>IF(F138&gt;0,F138*10+COUNTIF(F$138:F138,F138)+J119,0)</f>
        <v>#N/A</v>
      </c>
      <c r="H138" t="e">
        <f>IF(G138&gt;0,_xlfn.XLOOKUP(G138,K$61:K$80,B$61:B$80,0),0)</f>
        <v>#N/A</v>
      </c>
      <c r="J138">
        <f>COUNTIF(F$100:F$133,B138)</f>
        <v>30</v>
      </c>
      <c r="L138">
        <v>135</v>
      </c>
      <c r="M138">
        <f>_xlfn.XLOOKUP(L138,'Order Page'!X$27:X$393,'Order Page'!T$27:T$393,0)</f>
        <v>0</v>
      </c>
      <c r="N138">
        <f>_xlfn.XLOOKUP(L138,'Order Page'!X$27:X$393,'Order Page'!R$27:R$393,0)</f>
        <v>0</v>
      </c>
      <c r="O138" t="str">
        <f t="shared" si="131"/>
        <v/>
      </c>
      <c r="P138" t="str">
        <f t="shared" si="132"/>
        <v/>
      </c>
      <c r="Q138" s="263"/>
      <c r="R138">
        <v>135</v>
      </c>
      <c r="S138">
        <f t="shared" si="143"/>
        <v>1</v>
      </c>
      <c r="T138">
        <f t="shared" si="133"/>
        <v>0</v>
      </c>
      <c r="U138">
        <f>_xlfn.XLOOKUP(T138,'Order Page'!X$27:X$393,'Order Page'!U$27:U$393,"")</f>
        <v>0</v>
      </c>
      <c r="W138" t="str">
        <f t="shared" si="134"/>
        <v/>
      </c>
      <c r="X138" t="str">
        <f t="shared" si="135"/>
        <v/>
      </c>
      <c r="Y138" t="str">
        <f>_xlfn.XLOOKUP(T138,'Order Page'!X$27:X$393,'Order Page'!C$27:C$393,"")</f>
        <v>Acorus Calamus</v>
      </c>
      <c r="Z138" s="264"/>
      <c r="AA138">
        <v>135</v>
      </c>
      <c r="AB138" cm="1">
        <f t="array" ref="AB138">VLOOKUP(ROW(135:135),S$4:T$153,2)</f>
        <v>0</v>
      </c>
      <c r="AD138" t="str">
        <f t="shared" si="136"/>
        <v/>
      </c>
      <c r="AE138" t="e">
        <f t="shared" si="144"/>
        <v>#N/A</v>
      </c>
      <c r="AF138" t="str">
        <f t="shared" si="137"/>
        <v/>
      </c>
      <c r="AG138" t="str">
        <f>_xlfn.XLOOKUP(AB138,'Order Page'!X$27:X$393,'Order Page'!C$27:C$393,"")</f>
        <v>Acorus Calamus</v>
      </c>
      <c r="AH138">
        <f t="shared" si="138"/>
        <v>0</v>
      </c>
      <c r="AI138">
        <f t="shared" si="139"/>
        <v>0</v>
      </c>
      <c r="AJ138">
        <f t="shared" si="150"/>
        <v>0</v>
      </c>
      <c r="AK138">
        <f t="shared" si="145"/>
        <v>0</v>
      </c>
      <c r="AL138">
        <f>IF(OR(AD137&amp;AF137&lt;&gt;AD138&amp;AF138,AK138&lt;AK137),AK137,0)+MAX(AL$4:AL137)</f>
        <v>0</v>
      </c>
      <c r="AM138">
        <f t="shared" si="146"/>
        <v>0</v>
      </c>
      <c r="AO138" s="25" t="str">
        <f t="shared" si="147"/>
        <v/>
      </c>
      <c r="AP138" s="25" t="str">
        <f t="shared" si="140"/>
        <v/>
      </c>
      <c r="AQ138" t="str">
        <f t="shared" si="148"/>
        <v/>
      </c>
      <c r="AR138" t="str">
        <f t="shared" si="141"/>
        <v/>
      </c>
      <c r="AS138">
        <f t="shared" si="142"/>
        <v>0</v>
      </c>
      <c r="AT138">
        <f t="shared" si="149"/>
        <v>0</v>
      </c>
      <c r="AU138" t="str">
        <f>_xlfn.XLOOKUP(AB138,'Order Page'!X$24:X$378,'Order Page'!B$24:B$378,0)</f>
        <v>x6</v>
      </c>
      <c r="AV138">
        <f>_xlfn.XLOOKUP(AB138,'Order Page'!X$24:X$378,'Order Page'!O$24:O$378,0)</f>
        <v>38</v>
      </c>
      <c r="AW138" s="264"/>
    </row>
    <row r="139" spans="1:49" x14ac:dyDescent="0.25">
      <c r="A139">
        <v>2</v>
      </c>
      <c r="B139" t="e">
        <f t="shared" ref="B139:B152" si="151">IF(AND(H120=0,B120&gt;0),B120,0)</f>
        <v>#N/A</v>
      </c>
      <c r="D139" t="e">
        <f>IF(E$89-SUM(D$138:D138)-B139&gt;=0,B139,0)</f>
        <v>#N/A</v>
      </c>
      <c r="E139" t="e">
        <f>IF(COUNTIF(E$138:E138,"&lt;0")=0,IF(AND(D$154&gt;0,D139&gt;0,SUM(B$138:B$152)&lt;&gt;SUM(D$138:D$152)),-D139,0),IF(AND(D139=0,B139&gt;0),IF(D$154-SUM(E$138:E138)-B139&gt;=0,B139,0),0))</f>
        <v>#N/A</v>
      </c>
      <c r="F139" t="e">
        <f t="shared" ref="F139:F152" si="152">D139+E139</f>
        <v>#N/A</v>
      </c>
      <c r="G139" t="e">
        <f>IF(F139&gt;0,F139*10+COUNTIF(F$138:F139,F139)+J120,0)</f>
        <v>#N/A</v>
      </c>
      <c r="H139" t="e">
        <f>IF(G139&gt;0,_xlfn.XLOOKUP(G139,K$61:K$80,B$61:B$80,0),0)</f>
        <v>#N/A</v>
      </c>
      <c r="J139">
        <f t="shared" ref="J139:J152" si="153">COUNTIF(F$100:F$133,B139)</f>
        <v>30</v>
      </c>
      <c r="L139">
        <v>136</v>
      </c>
      <c r="M139">
        <f>_xlfn.XLOOKUP(L139,'Order Page'!X$27:X$393,'Order Page'!T$27:T$393,0)</f>
        <v>0</v>
      </c>
      <c r="N139">
        <f>_xlfn.XLOOKUP(L139,'Order Page'!X$27:X$393,'Order Page'!R$27:R$393,0)</f>
        <v>0</v>
      </c>
      <c r="O139" t="str">
        <f t="shared" si="131"/>
        <v/>
      </c>
      <c r="P139" t="str">
        <f t="shared" si="132"/>
        <v/>
      </c>
      <c r="Q139" s="263"/>
      <c r="R139">
        <v>136</v>
      </c>
      <c r="S139">
        <f t="shared" si="143"/>
        <v>1</v>
      </c>
      <c r="T139">
        <f t="shared" si="133"/>
        <v>0</v>
      </c>
      <c r="U139">
        <f>_xlfn.XLOOKUP(T139,'Order Page'!X$27:X$393,'Order Page'!U$27:U$393,"")</f>
        <v>0</v>
      </c>
      <c r="W139" t="str">
        <f t="shared" si="134"/>
        <v/>
      </c>
      <c r="X139" t="str">
        <f t="shared" si="135"/>
        <v/>
      </c>
      <c r="Y139" t="str">
        <f>_xlfn.XLOOKUP(T139,'Order Page'!X$27:X$393,'Order Page'!C$27:C$393,"")</f>
        <v>Acorus Calamus</v>
      </c>
      <c r="Z139" s="264"/>
      <c r="AA139">
        <v>136</v>
      </c>
      <c r="AB139" cm="1">
        <f t="array" ref="AB139">VLOOKUP(ROW(136:136),S$4:T$153,2)</f>
        <v>0</v>
      </c>
      <c r="AD139" t="str">
        <f t="shared" si="136"/>
        <v/>
      </c>
      <c r="AE139" t="e">
        <f t="shared" si="144"/>
        <v>#N/A</v>
      </c>
      <c r="AF139" t="str">
        <f t="shared" si="137"/>
        <v/>
      </c>
      <c r="AG139" t="str">
        <f>_xlfn.XLOOKUP(AB139,'Order Page'!X$27:X$393,'Order Page'!C$27:C$393,"")</f>
        <v>Acorus Calamus</v>
      </c>
      <c r="AH139">
        <f t="shared" si="138"/>
        <v>0</v>
      </c>
      <c r="AI139">
        <f t="shared" si="139"/>
        <v>0</v>
      </c>
      <c r="AJ139">
        <f t="shared" si="150"/>
        <v>0</v>
      </c>
      <c r="AK139">
        <f t="shared" si="145"/>
        <v>0</v>
      </c>
      <c r="AL139">
        <f>IF(OR(AD138&amp;AF138&lt;&gt;AD139&amp;AF139,AK139&lt;AK138),AK138,0)+MAX(AL$4:AL138)</f>
        <v>0</v>
      </c>
      <c r="AM139">
        <f t="shared" si="146"/>
        <v>0</v>
      </c>
      <c r="AO139" s="25" t="str">
        <f t="shared" si="147"/>
        <v/>
      </c>
      <c r="AP139" s="25" t="str">
        <f t="shared" si="140"/>
        <v/>
      </c>
      <c r="AQ139" t="str">
        <f t="shared" si="148"/>
        <v/>
      </c>
      <c r="AR139" t="str">
        <f t="shared" si="141"/>
        <v/>
      </c>
      <c r="AS139">
        <f t="shared" si="142"/>
        <v>0</v>
      </c>
      <c r="AT139">
        <f t="shared" si="149"/>
        <v>0</v>
      </c>
      <c r="AU139" t="str">
        <f>_xlfn.XLOOKUP(AB139,'Order Page'!X$24:X$378,'Order Page'!B$24:B$378,0)</f>
        <v>x6</v>
      </c>
      <c r="AV139">
        <f>_xlfn.XLOOKUP(AB139,'Order Page'!X$24:X$378,'Order Page'!O$24:O$378,0)</f>
        <v>38</v>
      </c>
      <c r="AW139" s="264"/>
    </row>
    <row r="140" spans="1:49" x14ac:dyDescent="0.25">
      <c r="A140">
        <v>3</v>
      </c>
      <c r="B140" t="e">
        <f>IF(AND(H121=0,B121&gt;0),B121,0)</f>
        <v>#N/A</v>
      </c>
      <c r="D140" t="e">
        <f>IF(E$89-SUM(D$138:D139)-B140&gt;=0,B140,0)</f>
        <v>#N/A</v>
      </c>
      <c r="E140" t="e">
        <f>IF(COUNTIF(E$138:E139,"&lt;0")=0,IF(AND(D$154&gt;0,D140&gt;0,SUM(B$138:B$152)&lt;&gt;SUM(D$138:D$152)),-D140,0),IF(AND(D140=0,B140&gt;0),IF(D$154-SUM(E$138:E139)-B140&gt;=0,B140,0),0))</f>
        <v>#N/A</v>
      </c>
      <c r="F140" t="e">
        <f t="shared" si="152"/>
        <v>#N/A</v>
      </c>
      <c r="G140" t="e">
        <f>IF(F140&gt;0,F140*10+COUNTIF(F$138:F140,F140)+J121,0)</f>
        <v>#N/A</v>
      </c>
      <c r="H140" t="e">
        <f>IF(G140&gt;0,_xlfn.XLOOKUP(G140,K$61:K$80,B$61:B$80,0),0)</f>
        <v>#N/A</v>
      </c>
      <c r="J140">
        <f t="shared" si="153"/>
        <v>30</v>
      </c>
      <c r="L140">
        <v>137</v>
      </c>
      <c r="M140">
        <f>_xlfn.XLOOKUP(L140,'Order Page'!X$27:X$393,'Order Page'!T$27:T$393,0)</f>
        <v>0</v>
      </c>
      <c r="N140">
        <f>_xlfn.XLOOKUP(L140,'Order Page'!X$27:X$393,'Order Page'!R$27:R$393,0)</f>
        <v>0</v>
      </c>
      <c r="O140" t="str">
        <f t="shared" si="131"/>
        <v/>
      </c>
      <c r="P140" t="str">
        <f t="shared" si="132"/>
        <v/>
      </c>
      <c r="Q140" s="263"/>
      <c r="R140">
        <v>137</v>
      </c>
      <c r="S140">
        <f t="shared" si="143"/>
        <v>1</v>
      </c>
      <c r="T140">
        <f t="shared" si="133"/>
        <v>0</v>
      </c>
      <c r="U140">
        <f>_xlfn.XLOOKUP(T140,'Order Page'!X$27:X$393,'Order Page'!U$27:U$393,"")</f>
        <v>0</v>
      </c>
      <c r="W140" t="str">
        <f t="shared" si="134"/>
        <v/>
      </c>
      <c r="X140" t="str">
        <f t="shared" si="135"/>
        <v/>
      </c>
      <c r="Y140" t="str">
        <f>_xlfn.XLOOKUP(T140,'Order Page'!X$27:X$393,'Order Page'!C$27:C$393,"")</f>
        <v>Acorus Calamus</v>
      </c>
      <c r="Z140" s="264"/>
      <c r="AA140">
        <v>137</v>
      </c>
      <c r="AB140" cm="1">
        <f t="array" ref="AB140">VLOOKUP(ROW(137:137),S$4:T$153,2)</f>
        <v>0</v>
      </c>
      <c r="AD140" t="str">
        <f t="shared" si="136"/>
        <v/>
      </c>
      <c r="AE140" t="e">
        <f t="shared" si="144"/>
        <v>#N/A</v>
      </c>
      <c r="AF140" t="str">
        <f t="shared" si="137"/>
        <v/>
      </c>
      <c r="AG140" t="str">
        <f>_xlfn.XLOOKUP(AB140,'Order Page'!X$27:X$393,'Order Page'!C$27:C$393,"")</f>
        <v>Acorus Calamus</v>
      </c>
      <c r="AH140">
        <f t="shared" si="138"/>
        <v>0</v>
      </c>
      <c r="AI140">
        <f t="shared" si="139"/>
        <v>0</v>
      </c>
      <c r="AJ140">
        <f t="shared" si="150"/>
        <v>0</v>
      </c>
      <c r="AK140">
        <f t="shared" si="145"/>
        <v>0</v>
      </c>
      <c r="AL140">
        <f>IF(OR(AD139&amp;AF139&lt;&gt;AD140&amp;AF140,AK140&lt;AK139),AK139,0)+MAX(AL$4:AL139)</f>
        <v>0</v>
      </c>
      <c r="AM140">
        <f t="shared" si="146"/>
        <v>0</v>
      </c>
      <c r="AO140" s="25" t="str">
        <f t="shared" si="147"/>
        <v/>
      </c>
      <c r="AP140" s="25" t="str">
        <f t="shared" si="140"/>
        <v/>
      </c>
      <c r="AQ140" t="str">
        <f t="shared" si="148"/>
        <v/>
      </c>
      <c r="AR140" t="str">
        <f t="shared" si="141"/>
        <v/>
      </c>
      <c r="AS140">
        <f t="shared" si="142"/>
        <v>0</v>
      </c>
      <c r="AT140">
        <f t="shared" si="149"/>
        <v>0</v>
      </c>
      <c r="AU140" t="str">
        <f>_xlfn.XLOOKUP(AB140,'Order Page'!X$24:X$378,'Order Page'!B$24:B$378,0)</f>
        <v>x6</v>
      </c>
      <c r="AV140">
        <f>_xlfn.XLOOKUP(AB140,'Order Page'!X$24:X$378,'Order Page'!O$24:O$378,0)</f>
        <v>38</v>
      </c>
      <c r="AW140" s="264"/>
    </row>
    <row r="141" spans="1:49" x14ac:dyDescent="0.25">
      <c r="A141">
        <v>4</v>
      </c>
      <c r="B141" t="e">
        <f t="shared" si="151"/>
        <v>#N/A</v>
      </c>
      <c r="D141" t="e">
        <f>IF(E$89-SUM(D$138:D140)-B141&gt;=0,B141,0)</f>
        <v>#N/A</v>
      </c>
      <c r="E141" t="e">
        <f>IF(COUNTIF(E$138:E140,"&lt;0")=0,IF(AND(D$154&gt;0,D141&gt;0,SUM(B$138:B$152)&lt;&gt;SUM(D$138:D$152)),-D141,0),IF(AND(D141=0,B141&gt;0),IF(D$154-SUM(E$138:E140)-B141&gt;=0,B141,0),0))</f>
        <v>#N/A</v>
      </c>
      <c r="F141" t="e">
        <f t="shared" si="152"/>
        <v>#N/A</v>
      </c>
      <c r="G141" t="e">
        <f>IF(F141&gt;0,F141*10+COUNTIF(F$138:F141,F141)+J122,0)</f>
        <v>#N/A</v>
      </c>
      <c r="H141" t="e">
        <f t="shared" ref="H141:H152" si="154">IF(G141&gt;0,_xlfn.XLOOKUP(G141,K$61:K$80,B$61:B$80,0),0)</f>
        <v>#N/A</v>
      </c>
      <c r="J141">
        <f t="shared" si="153"/>
        <v>30</v>
      </c>
      <c r="L141">
        <v>138</v>
      </c>
      <c r="M141">
        <f>_xlfn.XLOOKUP(L141,'Order Page'!X$27:X$393,'Order Page'!T$27:T$393,0)</f>
        <v>0</v>
      </c>
      <c r="N141">
        <f>_xlfn.XLOOKUP(L141,'Order Page'!X$27:X$393,'Order Page'!R$27:R$393,0)</f>
        <v>0</v>
      </c>
      <c r="O141" t="str">
        <f t="shared" si="131"/>
        <v/>
      </c>
      <c r="P141" t="str">
        <f t="shared" si="132"/>
        <v/>
      </c>
      <c r="Q141" s="263"/>
      <c r="R141">
        <v>138</v>
      </c>
      <c r="S141">
        <f t="shared" si="143"/>
        <v>1</v>
      </c>
      <c r="T141">
        <f t="shared" si="133"/>
        <v>0</v>
      </c>
      <c r="U141">
        <f>_xlfn.XLOOKUP(T141,'Order Page'!X$27:X$393,'Order Page'!U$27:U$393,"")</f>
        <v>0</v>
      </c>
      <c r="W141" t="str">
        <f t="shared" si="134"/>
        <v/>
      </c>
      <c r="X141" t="str">
        <f t="shared" si="135"/>
        <v/>
      </c>
      <c r="Y141" t="str">
        <f>_xlfn.XLOOKUP(T141,'Order Page'!X$27:X$393,'Order Page'!C$27:C$393,"")</f>
        <v>Acorus Calamus</v>
      </c>
      <c r="Z141" s="264"/>
      <c r="AA141">
        <v>138</v>
      </c>
      <c r="AB141" cm="1">
        <f t="array" ref="AB141">VLOOKUP(ROW(138:138),S$4:T$153,2)</f>
        <v>0</v>
      </c>
      <c r="AD141" t="str">
        <f t="shared" si="136"/>
        <v/>
      </c>
      <c r="AE141" t="e">
        <f t="shared" si="144"/>
        <v>#N/A</v>
      </c>
      <c r="AF141" t="str">
        <f t="shared" si="137"/>
        <v/>
      </c>
      <c r="AG141" t="str">
        <f>_xlfn.XLOOKUP(AB141,'Order Page'!X$27:X$393,'Order Page'!C$27:C$393,"")</f>
        <v>Acorus Calamus</v>
      </c>
      <c r="AH141">
        <f t="shared" si="138"/>
        <v>0</v>
      </c>
      <c r="AI141">
        <f t="shared" si="139"/>
        <v>0</v>
      </c>
      <c r="AJ141">
        <f t="shared" si="150"/>
        <v>0</v>
      </c>
      <c r="AK141">
        <f t="shared" si="145"/>
        <v>0</v>
      </c>
      <c r="AL141">
        <f>IF(OR(AD140&amp;AF140&lt;&gt;AD141&amp;AF141,AK141&lt;AK140),AK140,0)+MAX(AL$4:AL140)</f>
        <v>0</v>
      </c>
      <c r="AM141">
        <f t="shared" si="146"/>
        <v>0</v>
      </c>
      <c r="AO141" s="25" t="str">
        <f t="shared" si="147"/>
        <v/>
      </c>
      <c r="AP141" s="25" t="str">
        <f t="shared" si="140"/>
        <v/>
      </c>
      <c r="AQ141" t="str">
        <f t="shared" si="148"/>
        <v/>
      </c>
      <c r="AR141" t="str">
        <f t="shared" si="141"/>
        <v/>
      </c>
      <c r="AS141">
        <f t="shared" si="142"/>
        <v>0</v>
      </c>
      <c r="AT141">
        <f t="shared" si="149"/>
        <v>0</v>
      </c>
      <c r="AU141" t="str">
        <f>_xlfn.XLOOKUP(AB141,'Order Page'!X$24:X$378,'Order Page'!B$24:B$378,0)</f>
        <v>x6</v>
      </c>
      <c r="AV141">
        <f>_xlfn.XLOOKUP(AB141,'Order Page'!X$24:X$378,'Order Page'!O$24:O$378,0)</f>
        <v>38</v>
      </c>
      <c r="AW141" s="264"/>
    </row>
    <row r="142" spans="1:49" x14ac:dyDescent="0.25">
      <c r="A142">
        <v>5</v>
      </c>
      <c r="B142" t="e">
        <f t="shared" si="151"/>
        <v>#N/A</v>
      </c>
      <c r="D142" t="e">
        <f>IF(E$89-SUM(D$138:D141)-B142&gt;=0,B142,0)</f>
        <v>#N/A</v>
      </c>
      <c r="E142" t="e">
        <f>IF(COUNTIF(E$138:E141,"&lt;0")=0,IF(AND(D$154&gt;0,D142&gt;0,SUM(B$138:B$152)&lt;&gt;SUM(D$138:D$152)),-D142,0),IF(AND(D142=0,B142&gt;0),IF(D$154-SUM(E$138:E141)-B142&gt;=0,B142,0),0))</f>
        <v>#N/A</v>
      </c>
      <c r="F142" t="e">
        <f t="shared" si="152"/>
        <v>#N/A</v>
      </c>
      <c r="G142" t="e">
        <f>IF(F142&gt;0,F142*10+COUNTIF(F$138:F142,F142)+J123,0)</f>
        <v>#N/A</v>
      </c>
      <c r="H142" t="e">
        <f t="shared" si="154"/>
        <v>#N/A</v>
      </c>
      <c r="J142">
        <f t="shared" si="153"/>
        <v>30</v>
      </c>
      <c r="L142">
        <v>139</v>
      </c>
      <c r="M142">
        <f>_xlfn.XLOOKUP(L142,'Order Page'!X$27:X$393,'Order Page'!T$27:T$393,0)</f>
        <v>0</v>
      </c>
      <c r="N142">
        <f>_xlfn.XLOOKUP(L142,'Order Page'!X$27:X$393,'Order Page'!R$27:R$393,0)</f>
        <v>0</v>
      </c>
      <c r="O142" t="str">
        <f t="shared" si="131"/>
        <v/>
      </c>
      <c r="P142" t="str">
        <f t="shared" si="132"/>
        <v/>
      </c>
      <c r="Q142" s="263"/>
      <c r="R142">
        <v>139</v>
      </c>
      <c r="S142">
        <f t="shared" si="143"/>
        <v>1</v>
      </c>
      <c r="T142">
        <f t="shared" si="133"/>
        <v>0</v>
      </c>
      <c r="U142">
        <f>_xlfn.XLOOKUP(T142,'Order Page'!X$27:X$393,'Order Page'!U$27:U$393,"")</f>
        <v>0</v>
      </c>
      <c r="W142" t="str">
        <f t="shared" si="134"/>
        <v/>
      </c>
      <c r="X142" t="str">
        <f t="shared" si="135"/>
        <v/>
      </c>
      <c r="Y142" t="str">
        <f>_xlfn.XLOOKUP(T142,'Order Page'!X$27:X$393,'Order Page'!C$27:C$393,"")</f>
        <v>Acorus Calamus</v>
      </c>
      <c r="Z142" s="264"/>
      <c r="AA142">
        <v>139</v>
      </c>
      <c r="AB142" cm="1">
        <f t="array" ref="AB142">VLOOKUP(ROW(139:139),S$4:T$153,2)</f>
        <v>0</v>
      </c>
      <c r="AD142" t="str">
        <f t="shared" si="136"/>
        <v/>
      </c>
      <c r="AE142" t="e">
        <f t="shared" si="144"/>
        <v>#N/A</v>
      </c>
      <c r="AF142" t="str">
        <f t="shared" si="137"/>
        <v/>
      </c>
      <c r="AG142" t="str">
        <f>_xlfn.XLOOKUP(AB142,'Order Page'!X$27:X$393,'Order Page'!C$27:C$393,"")</f>
        <v>Acorus Calamus</v>
      </c>
      <c r="AH142">
        <f t="shared" si="138"/>
        <v>0</v>
      </c>
      <c r="AI142">
        <f t="shared" si="139"/>
        <v>0</v>
      </c>
      <c r="AJ142">
        <f t="shared" si="150"/>
        <v>0</v>
      </c>
      <c r="AK142">
        <f t="shared" si="145"/>
        <v>0</v>
      </c>
      <c r="AL142">
        <f>IF(OR(AD141&amp;AF141&lt;&gt;AD142&amp;AF142,AK142&lt;AK141),AK141,0)+MAX(AL$4:AL141)</f>
        <v>0</v>
      </c>
      <c r="AM142">
        <f t="shared" si="146"/>
        <v>0</v>
      </c>
      <c r="AO142" s="25" t="str">
        <f t="shared" si="147"/>
        <v/>
      </c>
      <c r="AP142" s="25" t="str">
        <f t="shared" si="140"/>
        <v/>
      </c>
      <c r="AQ142" t="str">
        <f t="shared" si="148"/>
        <v/>
      </c>
      <c r="AR142" t="str">
        <f t="shared" si="141"/>
        <v/>
      </c>
      <c r="AS142">
        <f t="shared" si="142"/>
        <v>0</v>
      </c>
      <c r="AT142">
        <f t="shared" si="149"/>
        <v>0</v>
      </c>
      <c r="AU142" t="str">
        <f>_xlfn.XLOOKUP(AB142,'Order Page'!X$24:X$378,'Order Page'!B$24:B$378,0)</f>
        <v>x6</v>
      </c>
      <c r="AV142">
        <f>_xlfn.XLOOKUP(AB142,'Order Page'!X$24:X$378,'Order Page'!O$24:O$378,0)</f>
        <v>38</v>
      </c>
      <c r="AW142" s="264"/>
    </row>
    <row r="143" spans="1:49" x14ac:dyDescent="0.25">
      <c r="A143">
        <v>6</v>
      </c>
      <c r="B143" t="e">
        <f t="shared" si="151"/>
        <v>#N/A</v>
      </c>
      <c r="D143" t="e">
        <f>IF(E$89-SUM(D$138:D142)-B143&gt;=0,B143,0)</f>
        <v>#N/A</v>
      </c>
      <c r="E143" t="e">
        <f>IF(COUNTIF(E$138:E142,"&lt;0")=0,IF(AND(D$154&gt;0,D143&gt;0,SUM(B$138:B$152)&lt;&gt;SUM(D$138:D$152)),-D143,0),IF(AND(D143=0,B143&gt;0),IF(D$154-SUM(E$138:E142)-B143&gt;=0,B143,0),0))</f>
        <v>#N/A</v>
      </c>
      <c r="F143" t="e">
        <f t="shared" si="152"/>
        <v>#N/A</v>
      </c>
      <c r="G143" t="e">
        <f>IF(F143&gt;0,F143*10+COUNTIF(F$138:F143,F143)+J124,0)</f>
        <v>#N/A</v>
      </c>
      <c r="H143" t="e">
        <f t="shared" si="154"/>
        <v>#N/A</v>
      </c>
      <c r="J143">
        <f t="shared" si="153"/>
        <v>30</v>
      </c>
      <c r="L143">
        <v>140</v>
      </c>
      <c r="M143">
        <f>_xlfn.XLOOKUP(L143,'Order Page'!X$27:X$393,'Order Page'!T$27:T$393,0)</f>
        <v>0</v>
      </c>
      <c r="N143">
        <f>_xlfn.XLOOKUP(L143,'Order Page'!X$27:X$393,'Order Page'!R$27:R$393,0)</f>
        <v>0</v>
      </c>
      <c r="O143" t="str">
        <f t="shared" si="131"/>
        <v/>
      </c>
      <c r="P143" t="str">
        <f t="shared" si="132"/>
        <v/>
      </c>
      <c r="Q143" s="263"/>
      <c r="R143">
        <v>140</v>
      </c>
      <c r="S143">
        <f t="shared" si="143"/>
        <v>1</v>
      </c>
      <c r="T143">
        <f t="shared" si="133"/>
        <v>0</v>
      </c>
      <c r="U143">
        <f>_xlfn.XLOOKUP(T143,'Order Page'!X$27:X$393,'Order Page'!U$27:U$393,"")</f>
        <v>0</v>
      </c>
      <c r="W143" t="str">
        <f t="shared" si="134"/>
        <v/>
      </c>
      <c r="X143" t="str">
        <f t="shared" si="135"/>
        <v/>
      </c>
      <c r="Y143" t="str">
        <f>_xlfn.XLOOKUP(T143,'Order Page'!X$27:X$393,'Order Page'!C$27:C$393,"")</f>
        <v>Acorus Calamus</v>
      </c>
      <c r="Z143" s="264"/>
      <c r="AA143">
        <v>140</v>
      </c>
      <c r="AB143" cm="1">
        <f t="array" ref="AB143">VLOOKUP(ROW(140:140),S$4:T$153,2)</f>
        <v>0</v>
      </c>
      <c r="AD143" t="str">
        <f t="shared" si="136"/>
        <v/>
      </c>
      <c r="AE143" t="e">
        <f t="shared" si="144"/>
        <v>#N/A</v>
      </c>
      <c r="AF143" t="str">
        <f t="shared" si="137"/>
        <v/>
      </c>
      <c r="AG143" t="str">
        <f>_xlfn.XLOOKUP(AB143,'Order Page'!X$27:X$393,'Order Page'!C$27:C$393,"")</f>
        <v>Acorus Calamus</v>
      </c>
      <c r="AH143">
        <f t="shared" si="138"/>
        <v>0</v>
      </c>
      <c r="AI143">
        <f t="shared" si="139"/>
        <v>0</v>
      </c>
      <c r="AJ143">
        <f t="shared" si="150"/>
        <v>0</v>
      </c>
      <c r="AK143">
        <f t="shared" si="145"/>
        <v>0</v>
      </c>
      <c r="AL143">
        <f>IF(OR(AD142&amp;AF142&lt;&gt;AD143&amp;AF143,AK143&lt;AK142),AK142,0)+MAX(AL$4:AL142)</f>
        <v>0</v>
      </c>
      <c r="AM143">
        <f t="shared" si="146"/>
        <v>0</v>
      </c>
      <c r="AO143" s="25" t="str">
        <f t="shared" si="147"/>
        <v/>
      </c>
      <c r="AP143" s="25" t="str">
        <f t="shared" si="140"/>
        <v/>
      </c>
      <c r="AQ143" t="str">
        <f t="shared" si="148"/>
        <v/>
      </c>
      <c r="AR143" t="str">
        <f t="shared" si="141"/>
        <v/>
      </c>
      <c r="AS143">
        <f t="shared" si="142"/>
        <v>0</v>
      </c>
      <c r="AT143">
        <f t="shared" si="149"/>
        <v>0</v>
      </c>
      <c r="AU143" t="str">
        <f>_xlfn.XLOOKUP(AB143,'Order Page'!X$24:X$378,'Order Page'!B$24:B$378,0)</f>
        <v>x6</v>
      </c>
      <c r="AV143">
        <f>_xlfn.XLOOKUP(AB143,'Order Page'!X$24:X$378,'Order Page'!O$24:O$378,0)</f>
        <v>38</v>
      </c>
      <c r="AW143" s="264"/>
    </row>
    <row r="144" spans="1:49" x14ac:dyDescent="0.25">
      <c r="A144">
        <v>7</v>
      </c>
      <c r="B144" t="e">
        <f t="shared" si="151"/>
        <v>#N/A</v>
      </c>
      <c r="D144" t="e">
        <f>IF(E$89-SUM(D$138:D143)-B144&gt;=0,B144,0)</f>
        <v>#N/A</v>
      </c>
      <c r="E144" t="e">
        <f>IF(COUNTIF(E$138:E143,"&lt;0")=0,IF(AND(D$154&gt;0,D144&gt;0,SUM(B$138:B$152)&lt;&gt;SUM(D$138:D$152)),-D144,0),IF(AND(D144=0,B144&gt;0),IF(D$154-SUM(E$138:E143)-B144&gt;=0,B144,0),0))</f>
        <v>#N/A</v>
      </c>
      <c r="F144" t="e">
        <f t="shared" si="152"/>
        <v>#N/A</v>
      </c>
      <c r="G144" t="e">
        <f>IF(F144&gt;0,F144*10+COUNTIF(F$138:F144,F144)+J125,0)</f>
        <v>#N/A</v>
      </c>
      <c r="H144" t="e">
        <f t="shared" si="154"/>
        <v>#N/A</v>
      </c>
      <c r="J144">
        <f t="shared" si="153"/>
        <v>30</v>
      </c>
      <c r="L144">
        <v>141</v>
      </c>
      <c r="M144">
        <f>_xlfn.XLOOKUP(L144,'Order Page'!X$27:X$393,'Order Page'!T$27:T$393,0)</f>
        <v>0</v>
      </c>
      <c r="N144">
        <f>_xlfn.XLOOKUP(L144,'Order Page'!X$27:X$393,'Order Page'!R$27:R$393,0)</f>
        <v>0</v>
      </c>
      <c r="O144" t="str">
        <f t="shared" si="131"/>
        <v/>
      </c>
      <c r="P144" t="str">
        <f t="shared" si="132"/>
        <v/>
      </c>
      <c r="Q144" s="263"/>
      <c r="R144">
        <v>141</v>
      </c>
      <c r="S144">
        <f t="shared" si="143"/>
        <v>1</v>
      </c>
      <c r="T144">
        <f t="shared" si="133"/>
        <v>0</v>
      </c>
      <c r="U144">
        <f>_xlfn.XLOOKUP(T144,'Order Page'!X$27:X$393,'Order Page'!U$27:U$393,"")</f>
        <v>0</v>
      </c>
      <c r="W144" t="str">
        <f t="shared" si="134"/>
        <v/>
      </c>
      <c r="X144" t="str">
        <f t="shared" si="135"/>
        <v/>
      </c>
      <c r="Y144" t="str">
        <f>_xlfn.XLOOKUP(T144,'Order Page'!X$27:X$393,'Order Page'!C$27:C$393,"")</f>
        <v>Acorus Calamus</v>
      </c>
      <c r="Z144" s="264"/>
      <c r="AA144">
        <v>141</v>
      </c>
      <c r="AB144" cm="1">
        <f t="array" ref="AB144">VLOOKUP(ROW(141:141),S$4:T$153,2)</f>
        <v>0</v>
      </c>
      <c r="AD144" t="str">
        <f t="shared" si="136"/>
        <v/>
      </c>
      <c r="AE144" t="e">
        <f t="shared" si="144"/>
        <v>#N/A</v>
      </c>
      <c r="AF144" t="str">
        <f t="shared" si="137"/>
        <v/>
      </c>
      <c r="AG144" t="str">
        <f>_xlfn.XLOOKUP(AB144,'Order Page'!X$27:X$393,'Order Page'!C$27:C$393,"")</f>
        <v>Acorus Calamus</v>
      </c>
      <c r="AH144">
        <f t="shared" si="138"/>
        <v>0</v>
      </c>
      <c r="AI144">
        <f t="shared" si="139"/>
        <v>0</v>
      </c>
      <c r="AJ144">
        <f t="shared" si="150"/>
        <v>0</v>
      </c>
      <c r="AK144">
        <f t="shared" si="145"/>
        <v>0</v>
      </c>
      <c r="AL144">
        <f>IF(OR(AD143&amp;AF143&lt;&gt;AD144&amp;AF144,AK144&lt;AK143),AK143,0)+MAX(AL$4:AL143)</f>
        <v>0</v>
      </c>
      <c r="AM144">
        <f t="shared" si="146"/>
        <v>0</v>
      </c>
      <c r="AO144" s="25" t="str">
        <f t="shared" si="147"/>
        <v/>
      </c>
      <c r="AP144" s="25" t="str">
        <f t="shared" si="140"/>
        <v/>
      </c>
      <c r="AQ144" t="str">
        <f t="shared" si="148"/>
        <v/>
      </c>
      <c r="AR144" t="str">
        <f t="shared" si="141"/>
        <v/>
      </c>
      <c r="AS144">
        <f t="shared" si="142"/>
        <v>0</v>
      </c>
      <c r="AT144">
        <f t="shared" si="149"/>
        <v>0</v>
      </c>
      <c r="AU144" t="str">
        <f>_xlfn.XLOOKUP(AB144,'Order Page'!X$24:X$378,'Order Page'!B$24:B$378,0)</f>
        <v>x6</v>
      </c>
      <c r="AV144">
        <f>_xlfn.XLOOKUP(AB144,'Order Page'!X$24:X$378,'Order Page'!O$24:O$378,0)</f>
        <v>38</v>
      </c>
      <c r="AW144" s="264"/>
    </row>
    <row r="145" spans="1:49" x14ac:dyDescent="0.25">
      <c r="A145">
        <v>8</v>
      </c>
      <c r="B145" t="e">
        <f t="shared" si="151"/>
        <v>#N/A</v>
      </c>
      <c r="D145" t="e">
        <f>IF(E$89-SUM(D$138:D144)-B145&gt;=0,B145,0)</f>
        <v>#N/A</v>
      </c>
      <c r="E145" t="e">
        <f>IF(COUNTIF(E$138:E144,"&lt;0")=0,IF(AND(D$154&gt;0,D145&gt;0,SUM(B$138:B$152)&lt;&gt;SUM(D$138:D$152)),-D145,0),IF(AND(D145=0,B145&gt;0),IF(D$154-SUM(E$138:E144)-B145&gt;=0,B145,0),0))</f>
        <v>#N/A</v>
      </c>
      <c r="F145" t="e">
        <f t="shared" si="152"/>
        <v>#N/A</v>
      </c>
      <c r="G145" t="e">
        <f>IF(F145&gt;0,F145*10+COUNTIF(F$138:F145,F145)+J126,0)</f>
        <v>#N/A</v>
      </c>
      <c r="H145" t="e">
        <f t="shared" si="154"/>
        <v>#N/A</v>
      </c>
      <c r="J145">
        <f t="shared" si="153"/>
        <v>30</v>
      </c>
      <c r="L145">
        <v>142</v>
      </c>
      <c r="M145">
        <f>_xlfn.XLOOKUP(L145,'Order Page'!X$27:X$393,'Order Page'!T$27:T$393,0)</f>
        <v>0</v>
      </c>
      <c r="N145">
        <f>_xlfn.XLOOKUP(L145,'Order Page'!X$27:X$393,'Order Page'!R$27:R$393,0)</f>
        <v>0</v>
      </c>
      <c r="O145" t="str">
        <f t="shared" si="131"/>
        <v/>
      </c>
      <c r="P145" t="str">
        <f t="shared" si="132"/>
        <v/>
      </c>
      <c r="Q145" s="263"/>
      <c r="R145">
        <v>142</v>
      </c>
      <c r="S145">
        <f t="shared" si="143"/>
        <v>1</v>
      </c>
      <c r="T145">
        <f t="shared" si="133"/>
        <v>0</v>
      </c>
      <c r="U145">
        <f>_xlfn.XLOOKUP(T145,'Order Page'!X$27:X$393,'Order Page'!U$27:U$393,"")</f>
        <v>0</v>
      </c>
      <c r="W145" t="str">
        <f t="shared" si="134"/>
        <v/>
      </c>
      <c r="X145" t="str">
        <f t="shared" si="135"/>
        <v/>
      </c>
      <c r="Y145" t="str">
        <f>_xlfn.XLOOKUP(T145,'Order Page'!X$27:X$393,'Order Page'!C$27:C$393,"")</f>
        <v>Acorus Calamus</v>
      </c>
      <c r="Z145" s="264"/>
      <c r="AA145">
        <v>142</v>
      </c>
      <c r="AB145" cm="1">
        <f t="array" ref="AB145">VLOOKUP(ROW(142:142),S$4:T$153,2)</f>
        <v>0</v>
      </c>
      <c r="AD145" t="str">
        <f t="shared" si="136"/>
        <v/>
      </c>
      <c r="AE145" t="e">
        <f t="shared" si="144"/>
        <v>#N/A</v>
      </c>
      <c r="AF145" t="str">
        <f t="shared" si="137"/>
        <v/>
      </c>
      <c r="AG145" t="str">
        <f>_xlfn.XLOOKUP(AB145,'Order Page'!X$27:X$393,'Order Page'!C$27:C$393,"")</f>
        <v>Acorus Calamus</v>
      </c>
      <c r="AH145">
        <f t="shared" si="138"/>
        <v>0</v>
      </c>
      <c r="AI145">
        <f t="shared" si="139"/>
        <v>0</v>
      </c>
      <c r="AJ145">
        <f t="shared" si="150"/>
        <v>0</v>
      </c>
      <c r="AK145">
        <f t="shared" si="145"/>
        <v>0</v>
      </c>
      <c r="AL145">
        <f>IF(OR(AD144&amp;AF144&lt;&gt;AD145&amp;AF145,AK145&lt;AK144),AK144,0)+MAX(AL$4:AL144)</f>
        <v>0</v>
      </c>
      <c r="AM145">
        <f t="shared" si="146"/>
        <v>0</v>
      </c>
      <c r="AO145" s="25" t="str">
        <f t="shared" si="147"/>
        <v/>
      </c>
      <c r="AP145" s="25" t="str">
        <f t="shared" si="140"/>
        <v/>
      </c>
      <c r="AQ145" t="str">
        <f t="shared" si="148"/>
        <v/>
      </c>
      <c r="AR145" t="str">
        <f t="shared" si="141"/>
        <v/>
      </c>
      <c r="AS145">
        <f t="shared" si="142"/>
        <v>0</v>
      </c>
      <c r="AT145">
        <f t="shared" si="149"/>
        <v>0</v>
      </c>
      <c r="AU145" t="str">
        <f>_xlfn.XLOOKUP(AB145,'Order Page'!X$24:X$378,'Order Page'!B$24:B$378,0)</f>
        <v>x6</v>
      </c>
      <c r="AV145">
        <f>_xlfn.XLOOKUP(AB145,'Order Page'!X$24:X$378,'Order Page'!O$24:O$378,0)</f>
        <v>38</v>
      </c>
      <c r="AW145" s="264"/>
    </row>
    <row r="146" spans="1:49" x14ac:dyDescent="0.25">
      <c r="A146">
        <v>9</v>
      </c>
      <c r="B146" t="e">
        <f t="shared" si="151"/>
        <v>#N/A</v>
      </c>
      <c r="D146" t="e">
        <f>IF(E$89-SUM(D$138:D145)-B146&gt;=0,B146,0)</f>
        <v>#N/A</v>
      </c>
      <c r="E146" t="e">
        <f>IF(COUNTIF(E$138:E145,"&lt;0")=0,IF(AND(D$154&gt;0,D146&gt;0,SUM(B$138:B$152)&lt;&gt;SUM(D$138:D$152)),-D146,0),IF(AND(D146=0,B146&gt;0),IF(D$154-SUM(E$138:E145)-B146&gt;=0,B146,0),0))</f>
        <v>#N/A</v>
      </c>
      <c r="F146" t="e">
        <f t="shared" si="152"/>
        <v>#N/A</v>
      </c>
      <c r="G146" t="e">
        <f>IF(F146&gt;0,F146*10+COUNTIF(F$138:F146,F146)+J127,0)</f>
        <v>#N/A</v>
      </c>
      <c r="H146" t="e">
        <f t="shared" si="154"/>
        <v>#N/A</v>
      </c>
      <c r="J146">
        <f t="shared" si="153"/>
        <v>30</v>
      </c>
      <c r="L146">
        <v>143</v>
      </c>
      <c r="M146">
        <f>_xlfn.XLOOKUP(L146,'Order Page'!X$27:X$393,'Order Page'!T$27:T$393,0)</f>
        <v>0</v>
      </c>
      <c r="N146">
        <f>_xlfn.XLOOKUP(L146,'Order Page'!X$27:X$393,'Order Page'!R$27:R$393,0)</f>
        <v>0</v>
      </c>
      <c r="O146" t="str">
        <f t="shared" si="131"/>
        <v/>
      </c>
      <c r="P146" t="str">
        <f t="shared" si="132"/>
        <v/>
      </c>
      <c r="Q146" s="263"/>
      <c r="R146">
        <v>143</v>
      </c>
      <c r="S146">
        <f t="shared" si="143"/>
        <v>1</v>
      </c>
      <c r="T146">
        <f t="shared" si="133"/>
        <v>0</v>
      </c>
      <c r="U146">
        <f>_xlfn.XLOOKUP(T146,'Order Page'!X$27:X$393,'Order Page'!U$27:U$393,"")</f>
        <v>0</v>
      </c>
      <c r="W146" t="str">
        <f t="shared" si="134"/>
        <v/>
      </c>
      <c r="X146" t="str">
        <f t="shared" si="135"/>
        <v/>
      </c>
      <c r="Y146" t="str">
        <f>_xlfn.XLOOKUP(T146,'Order Page'!X$27:X$393,'Order Page'!C$27:C$393,"")</f>
        <v>Acorus Calamus</v>
      </c>
      <c r="Z146" s="264"/>
      <c r="AA146">
        <v>143</v>
      </c>
      <c r="AB146" cm="1">
        <f t="array" ref="AB146">VLOOKUP(ROW(143:143),S$4:T$153,2)</f>
        <v>0</v>
      </c>
      <c r="AD146" t="str">
        <f t="shared" si="136"/>
        <v/>
      </c>
      <c r="AE146" t="e">
        <f t="shared" si="144"/>
        <v>#N/A</v>
      </c>
      <c r="AF146" t="str">
        <f t="shared" si="137"/>
        <v/>
      </c>
      <c r="AG146" t="str">
        <f>_xlfn.XLOOKUP(AB146,'Order Page'!X$27:X$393,'Order Page'!C$27:C$393,"")</f>
        <v>Acorus Calamus</v>
      </c>
      <c r="AH146">
        <f t="shared" si="138"/>
        <v>0</v>
      </c>
      <c r="AI146">
        <f t="shared" si="139"/>
        <v>0</v>
      </c>
      <c r="AJ146">
        <f t="shared" si="150"/>
        <v>0</v>
      </c>
      <c r="AK146">
        <f t="shared" si="145"/>
        <v>0</v>
      </c>
      <c r="AL146">
        <f>IF(OR(AD145&amp;AF145&lt;&gt;AD146&amp;AF146,AK146&lt;AK145),AK145,0)+MAX(AL$4:AL145)</f>
        <v>0</v>
      </c>
      <c r="AM146">
        <f t="shared" si="146"/>
        <v>0</v>
      </c>
      <c r="AO146" s="25" t="str">
        <f t="shared" si="147"/>
        <v/>
      </c>
      <c r="AP146" s="25" t="str">
        <f t="shared" si="140"/>
        <v/>
      </c>
      <c r="AQ146" t="str">
        <f t="shared" si="148"/>
        <v/>
      </c>
      <c r="AR146" t="str">
        <f t="shared" si="141"/>
        <v/>
      </c>
      <c r="AS146">
        <f t="shared" si="142"/>
        <v>0</v>
      </c>
      <c r="AT146">
        <f t="shared" si="149"/>
        <v>0</v>
      </c>
      <c r="AU146" t="str">
        <f>_xlfn.XLOOKUP(AB146,'Order Page'!X$24:X$378,'Order Page'!B$24:B$378,0)</f>
        <v>x6</v>
      </c>
      <c r="AV146">
        <f>_xlfn.XLOOKUP(AB146,'Order Page'!X$24:X$378,'Order Page'!O$24:O$378,0)</f>
        <v>38</v>
      </c>
      <c r="AW146" s="264"/>
    </row>
    <row r="147" spans="1:49" x14ac:dyDescent="0.25">
      <c r="A147">
        <v>10</v>
      </c>
      <c r="B147" t="e">
        <f t="shared" si="151"/>
        <v>#N/A</v>
      </c>
      <c r="D147" t="e">
        <f>IF(E$89-SUM(D$138:D146)-B147&gt;=0,B147,0)</f>
        <v>#N/A</v>
      </c>
      <c r="E147" t="e">
        <f>IF(COUNTIF(E$138:E146,"&lt;0")=0,IF(AND(D$154&gt;0,D147&gt;0,SUM(B$138:B$152)&lt;&gt;SUM(D$138:D$152)),-D147,0),IF(AND(D147=0,B147&gt;0),IF(D$154-SUM(E$138:E146)-B147&gt;=0,B147,0),0))</f>
        <v>#N/A</v>
      </c>
      <c r="F147" t="e">
        <f t="shared" si="152"/>
        <v>#N/A</v>
      </c>
      <c r="G147" t="e">
        <f>IF(F147&gt;0,F147*10+COUNTIF(F$138:F147,F147)+J128,0)</f>
        <v>#N/A</v>
      </c>
      <c r="H147" t="e">
        <f t="shared" si="154"/>
        <v>#N/A</v>
      </c>
      <c r="J147">
        <f t="shared" si="153"/>
        <v>30</v>
      </c>
      <c r="L147">
        <v>144</v>
      </c>
      <c r="M147">
        <f>_xlfn.XLOOKUP(L147,'Order Page'!X$27:X$393,'Order Page'!T$27:T$393,0)</f>
        <v>0</v>
      </c>
      <c r="N147">
        <f>_xlfn.XLOOKUP(L147,'Order Page'!X$27:X$393,'Order Page'!R$27:R$393,0)</f>
        <v>0</v>
      </c>
      <c r="O147" t="str">
        <f t="shared" si="131"/>
        <v/>
      </c>
      <c r="P147" t="str">
        <f t="shared" si="132"/>
        <v/>
      </c>
      <c r="Q147" s="263"/>
      <c r="R147">
        <v>144</v>
      </c>
      <c r="S147">
        <f t="shared" si="143"/>
        <v>1</v>
      </c>
      <c r="T147">
        <f t="shared" si="133"/>
        <v>0</v>
      </c>
      <c r="U147">
        <f>_xlfn.XLOOKUP(T147,'Order Page'!X$27:X$393,'Order Page'!U$27:U$393,"")</f>
        <v>0</v>
      </c>
      <c r="W147" t="str">
        <f t="shared" si="134"/>
        <v/>
      </c>
      <c r="X147" t="str">
        <f t="shared" si="135"/>
        <v/>
      </c>
      <c r="Y147" t="str">
        <f>_xlfn.XLOOKUP(T147,'Order Page'!X$27:X$393,'Order Page'!C$27:C$393,"")</f>
        <v>Acorus Calamus</v>
      </c>
      <c r="Z147" s="264"/>
      <c r="AA147">
        <v>144</v>
      </c>
      <c r="AB147" cm="1">
        <f t="array" ref="AB147">VLOOKUP(ROW(144:144),S$4:T$153,2)</f>
        <v>0</v>
      </c>
      <c r="AD147" t="str">
        <f t="shared" si="136"/>
        <v/>
      </c>
      <c r="AE147" t="e">
        <f t="shared" si="144"/>
        <v>#N/A</v>
      </c>
      <c r="AF147" t="str">
        <f t="shared" si="137"/>
        <v/>
      </c>
      <c r="AG147" t="str">
        <f>_xlfn.XLOOKUP(AB147,'Order Page'!X$27:X$393,'Order Page'!C$27:C$393,"")</f>
        <v>Acorus Calamus</v>
      </c>
      <c r="AH147">
        <f t="shared" si="138"/>
        <v>0</v>
      </c>
      <c r="AI147">
        <f t="shared" si="139"/>
        <v>0</v>
      </c>
      <c r="AJ147">
        <f t="shared" si="150"/>
        <v>0</v>
      </c>
      <c r="AK147">
        <f t="shared" si="145"/>
        <v>0</v>
      </c>
      <c r="AL147">
        <f>IF(OR(AD146&amp;AF146&lt;&gt;AD147&amp;AF147,AK147&lt;AK146),AK146,0)+MAX(AL$4:AL146)</f>
        <v>0</v>
      </c>
      <c r="AM147">
        <f t="shared" si="146"/>
        <v>0</v>
      </c>
      <c r="AO147" s="25" t="str">
        <f t="shared" si="147"/>
        <v/>
      </c>
      <c r="AP147" s="25" t="str">
        <f t="shared" si="140"/>
        <v/>
      </c>
      <c r="AQ147" t="str">
        <f t="shared" si="148"/>
        <v/>
      </c>
      <c r="AR147" t="str">
        <f t="shared" si="141"/>
        <v/>
      </c>
      <c r="AS147">
        <f t="shared" si="142"/>
        <v>0</v>
      </c>
      <c r="AT147">
        <f t="shared" si="149"/>
        <v>0</v>
      </c>
      <c r="AU147" t="str">
        <f>_xlfn.XLOOKUP(AB147,'Order Page'!X$24:X$378,'Order Page'!B$24:B$378,0)</f>
        <v>x6</v>
      </c>
      <c r="AV147">
        <f>_xlfn.XLOOKUP(AB147,'Order Page'!X$24:X$378,'Order Page'!O$24:O$378,0)</f>
        <v>38</v>
      </c>
      <c r="AW147" s="264"/>
    </row>
    <row r="148" spans="1:49" x14ac:dyDescent="0.25">
      <c r="A148">
        <v>11</v>
      </c>
      <c r="B148" t="e">
        <f t="shared" si="151"/>
        <v>#N/A</v>
      </c>
      <c r="D148" t="e">
        <f>IF(E$89-SUM(D$138:D147)-B148&gt;=0,B148,0)</f>
        <v>#N/A</v>
      </c>
      <c r="E148" t="e">
        <f>IF(COUNTIF(E$138:E147,"&lt;0")=0,IF(AND(D$154&gt;0,D148&gt;0,SUM(B$138:B$152)&lt;&gt;SUM(D$138:D$152)),-D148,0),IF(AND(D148=0,B148&gt;0),IF(D$154-SUM(E$138:E147)-B148&gt;=0,B148,0),0))</f>
        <v>#N/A</v>
      </c>
      <c r="F148" t="e">
        <f t="shared" si="152"/>
        <v>#N/A</v>
      </c>
      <c r="G148" t="e">
        <f>IF(F148&gt;0,F148*10+COUNTIF(F$138:F148,F148)+J129,0)</f>
        <v>#N/A</v>
      </c>
      <c r="H148" t="e">
        <f t="shared" si="154"/>
        <v>#N/A</v>
      </c>
      <c r="J148">
        <f t="shared" si="153"/>
        <v>30</v>
      </c>
      <c r="L148">
        <v>145</v>
      </c>
      <c r="M148">
        <f>_xlfn.XLOOKUP(L148,'Order Page'!X$27:X$393,'Order Page'!T$27:T$393,0)</f>
        <v>0</v>
      </c>
      <c r="N148">
        <f>_xlfn.XLOOKUP(L148,'Order Page'!X$27:X$393,'Order Page'!R$27:R$393,0)</f>
        <v>0</v>
      </c>
      <c r="O148" t="str">
        <f t="shared" si="131"/>
        <v/>
      </c>
      <c r="P148" t="str">
        <f t="shared" si="132"/>
        <v/>
      </c>
      <c r="Q148" s="263"/>
      <c r="R148">
        <v>145</v>
      </c>
      <c r="S148">
        <f t="shared" si="143"/>
        <v>1</v>
      </c>
      <c r="T148">
        <f t="shared" si="133"/>
        <v>0</v>
      </c>
      <c r="U148">
        <f>_xlfn.XLOOKUP(T148,'Order Page'!X$27:X$393,'Order Page'!U$27:U$393,"")</f>
        <v>0</v>
      </c>
      <c r="W148" t="str">
        <f t="shared" si="134"/>
        <v/>
      </c>
      <c r="X148" t="str">
        <f t="shared" si="135"/>
        <v/>
      </c>
      <c r="Y148" t="str">
        <f>_xlfn.XLOOKUP(T148,'Order Page'!X$27:X$393,'Order Page'!C$27:C$393,"")</f>
        <v>Acorus Calamus</v>
      </c>
      <c r="Z148" s="264"/>
      <c r="AA148">
        <v>145</v>
      </c>
      <c r="AB148" cm="1">
        <f t="array" ref="AB148">VLOOKUP(ROW(145:145),S$4:T$153,2)</f>
        <v>0</v>
      </c>
      <c r="AD148" t="str">
        <f t="shared" si="136"/>
        <v/>
      </c>
      <c r="AE148" t="e">
        <f t="shared" si="144"/>
        <v>#N/A</v>
      </c>
      <c r="AF148" t="str">
        <f t="shared" si="137"/>
        <v/>
      </c>
      <c r="AG148" t="str">
        <f>_xlfn.XLOOKUP(AB148,'Order Page'!X$27:X$393,'Order Page'!C$27:C$393,"")</f>
        <v>Acorus Calamus</v>
      </c>
      <c r="AH148">
        <f t="shared" si="138"/>
        <v>0</v>
      </c>
      <c r="AI148">
        <f t="shared" si="139"/>
        <v>0</v>
      </c>
      <c r="AJ148">
        <f t="shared" si="150"/>
        <v>0</v>
      </c>
      <c r="AK148">
        <f t="shared" si="145"/>
        <v>0</v>
      </c>
      <c r="AL148">
        <f>IF(OR(AD147&amp;AF147&lt;&gt;AD148&amp;AF148,AK148&lt;AK147),AK147,0)+MAX(AL$4:AL147)</f>
        <v>0</v>
      </c>
      <c r="AM148">
        <f t="shared" si="146"/>
        <v>0</v>
      </c>
      <c r="AO148" s="25" t="str">
        <f t="shared" si="147"/>
        <v/>
      </c>
      <c r="AP148" s="25" t="str">
        <f t="shared" si="140"/>
        <v/>
      </c>
      <c r="AQ148" t="str">
        <f t="shared" si="148"/>
        <v/>
      </c>
      <c r="AR148" t="str">
        <f t="shared" si="141"/>
        <v/>
      </c>
      <c r="AS148">
        <f t="shared" si="142"/>
        <v>0</v>
      </c>
      <c r="AT148">
        <f t="shared" si="149"/>
        <v>0</v>
      </c>
      <c r="AU148" t="str">
        <f>_xlfn.XLOOKUP(AB148,'Order Page'!X$24:X$378,'Order Page'!B$24:B$378,0)</f>
        <v>x6</v>
      </c>
      <c r="AV148">
        <f>_xlfn.XLOOKUP(AB148,'Order Page'!X$24:X$378,'Order Page'!O$24:O$378,0)</f>
        <v>38</v>
      </c>
      <c r="AW148" s="264"/>
    </row>
    <row r="149" spans="1:49" x14ac:dyDescent="0.25">
      <c r="A149">
        <v>12</v>
      </c>
      <c r="B149" t="e">
        <f t="shared" si="151"/>
        <v>#N/A</v>
      </c>
      <c r="D149" t="e">
        <f>IF(E$89-SUM(D$138:D148)-B149&gt;=0,B149,0)</f>
        <v>#N/A</v>
      </c>
      <c r="E149" t="e">
        <f>IF(COUNTIF(E$138:E148,"&lt;0")=0,IF(AND(D$154&gt;0,D149&gt;0,SUM(B$138:B$152)&lt;&gt;SUM(D$138:D$152)),-D149,0),IF(AND(D149=0,B149&gt;0),IF(D$154-SUM(E$138:E148)-B149&gt;=0,B149,0),0))</f>
        <v>#N/A</v>
      </c>
      <c r="F149" t="e">
        <f t="shared" si="152"/>
        <v>#N/A</v>
      </c>
      <c r="G149" t="e">
        <f>IF(F149&gt;0,F149*10+COUNTIF(F$138:F149,F149)+J130,0)</f>
        <v>#N/A</v>
      </c>
      <c r="H149" t="e">
        <f t="shared" si="154"/>
        <v>#N/A</v>
      </c>
      <c r="J149">
        <f t="shared" si="153"/>
        <v>30</v>
      </c>
      <c r="L149">
        <v>146</v>
      </c>
      <c r="M149">
        <f>_xlfn.XLOOKUP(L149,'Order Page'!X$27:X$393,'Order Page'!T$27:T$393,0)</f>
        <v>0</v>
      </c>
      <c r="N149">
        <f>_xlfn.XLOOKUP(L149,'Order Page'!X$27:X$393,'Order Page'!R$27:R$393,0)</f>
        <v>0</v>
      </c>
      <c r="O149" t="str">
        <f t="shared" si="131"/>
        <v/>
      </c>
      <c r="P149" t="str">
        <f t="shared" si="132"/>
        <v/>
      </c>
      <c r="Q149" s="263"/>
      <c r="R149">
        <v>146</v>
      </c>
      <c r="S149">
        <f t="shared" si="143"/>
        <v>1</v>
      </c>
      <c r="T149">
        <f t="shared" si="133"/>
        <v>0</v>
      </c>
      <c r="U149">
        <f>_xlfn.XLOOKUP(T149,'Order Page'!X$27:X$393,'Order Page'!U$27:U$393,"")</f>
        <v>0</v>
      </c>
      <c r="W149" t="str">
        <f t="shared" si="134"/>
        <v/>
      </c>
      <c r="X149" t="str">
        <f t="shared" si="135"/>
        <v/>
      </c>
      <c r="Y149" t="str">
        <f>_xlfn.XLOOKUP(T149,'Order Page'!X$27:X$393,'Order Page'!C$27:C$393,"")</f>
        <v>Acorus Calamus</v>
      </c>
      <c r="Z149" s="264"/>
      <c r="AA149">
        <v>146</v>
      </c>
      <c r="AB149" cm="1">
        <f t="array" ref="AB149">VLOOKUP(ROW(146:146),S$4:T$153,2)</f>
        <v>0</v>
      </c>
      <c r="AD149" t="str">
        <f t="shared" si="136"/>
        <v/>
      </c>
      <c r="AE149" t="e">
        <f t="shared" si="144"/>
        <v>#N/A</v>
      </c>
      <c r="AF149" t="str">
        <f t="shared" si="137"/>
        <v/>
      </c>
      <c r="AG149" t="str">
        <f>_xlfn.XLOOKUP(AB149,'Order Page'!X$27:X$393,'Order Page'!C$27:C$393,"")</f>
        <v>Acorus Calamus</v>
      </c>
      <c r="AH149">
        <f t="shared" si="138"/>
        <v>0</v>
      </c>
      <c r="AI149">
        <f t="shared" si="139"/>
        <v>0</v>
      </c>
      <c r="AJ149">
        <f t="shared" si="150"/>
        <v>0</v>
      </c>
      <c r="AK149">
        <f t="shared" si="145"/>
        <v>0</v>
      </c>
      <c r="AL149">
        <f>IF(OR(AD148&amp;AF148&lt;&gt;AD149&amp;AF149,AK149&lt;AK148),AK148,0)+MAX(AL$4:AL148)</f>
        <v>0</v>
      </c>
      <c r="AM149">
        <f t="shared" si="146"/>
        <v>0</v>
      </c>
      <c r="AO149" s="25" t="str">
        <f t="shared" si="147"/>
        <v/>
      </c>
      <c r="AP149" s="25" t="str">
        <f t="shared" si="140"/>
        <v/>
      </c>
      <c r="AQ149" t="str">
        <f t="shared" si="148"/>
        <v/>
      </c>
      <c r="AR149" t="str">
        <f t="shared" si="141"/>
        <v/>
      </c>
      <c r="AS149">
        <f t="shared" si="142"/>
        <v>0</v>
      </c>
      <c r="AT149">
        <f t="shared" si="149"/>
        <v>0</v>
      </c>
      <c r="AU149" t="str">
        <f>_xlfn.XLOOKUP(AB149,'Order Page'!X$24:X$378,'Order Page'!B$24:B$378,0)</f>
        <v>x6</v>
      </c>
      <c r="AV149">
        <f>_xlfn.XLOOKUP(AB149,'Order Page'!X$24:X$378,'Order Page'!O$24:O$378,0)</f>
        <v>38</v>
      </c>
      <c r="AW149" s="264"/>
    </row>
    <row r="150" spans="1:49" x14ac:dyDescent="0.25">
      <c r="A150">
        <v>13</v>
      </c>
      <c r="B150" t="e">
        <f t="shared" si="151"/>
        <v>#N/A</v>
      </c>
      <c r="D150" t="e">
        <f>IF(E$89-SUM(D$138:D149)-B150&gt;=0,B150,0)</f>
        <v>#N/A</v>
      </c>
      <c r="E150" t="e">
        <f>IF(COUNTIF(E$138:E149,"&lt;0")=0,IF(AND(D$154&gt;0,D150&gt;0,SUM(B$138:B$152)&lt;&gt;SUM(D$138:D$152)),-D150,0),IF(AND(D150=0,B150&gt;0),IF(D$154-SUM(E$138:E149)-B150&gt;=0,B150,0),0))</f>
        <v>#N/A</v>
      </c>
      <c r="F150" t="e">
        <f t="shared" si="152"/>
        <v>#N/A</v>
      </c>
      <c r="G150" t="e">
        <f>IF(F150&gt;0,F150*10+COUNTIF(F$138:F150,F150)+J131,0)</f>
        <v>#N/A</v>
      </c>
      <c r="H150" t="e">
        <f t="shared" si="154"/>
        <v>#N/A</v>
      </c>
      <c r="J150">
        <f t="shared" si="153"/>
        <v>30</v>
      </c>
      <c r="L150">
        <v>147</v>
      </c>
      <c r="M150">
        <f>_xlfn.XLOOKUP(L150,'Order Page'!X$27:X$393,'Order Page'!T$27:T$393,0)</f>
        <v>0</v>
      </c>
      <c r="N150">
        <f>_xlfn.XLOOKUP(L150,'Order Page'!X$27:X$393,'Order Page'!R$27:R$393,0)</f>
        <v>0</v>
      </c>
      <c r="O150" t="str">
        <f t="shared" si="131"/>
        <v/>
      </c>
      <c r="P150" t="str">
        <f t="shared" si="132"/>
        <v/>
      </c>
      <c r="Q150" s="263"/>
      <c r="R150">
        <v>147</v>
      </c>
      <c r="S150">
        <f t="shared" si="143"/>
        <v>1</v>
      </c>
      <c r="T150">
        <f t="shared" si="133"/>
        <v>0</v>
      </c>
      <c r="U150">
        <f>_xlfn.XLOOKUP(T150,'Order Page'!X$27:X$393,'Order Page'!U$27:U$393,"")</f>
        <v>0</v>
      </c>
      <c r="W150" t="str">
        <f t="shared" si="134"/>
        <v/>
      </c>
      <c r="X150" t="str">
        <f t="shared" si="135"/>
        <v/>
      </c>
      <c r="Y150" t="str">
        <f>_xlfn.XLOOKUP(T150,'Order Page'!X$27:X$393,'Order Page'!C$27:C$393,"")</f>
        <v>Acorus Calamus</v>
      </c>
      <c r="Z150" s="264"/>
      <c r="AA150">
        <v>147</v>
      </c>
      <c r="AB150" cm="1">
        <f t="array" ref="AB150">VLOOKUP(ROW(147:147),S$4:T$153,2)</f>
        <v>0</v>
      </c>
      <c r="AD150" t="str">
        <f t="shared" si="136"/>
        <v/>
      </c>
      <c r="AE150" t="e">
        <f t="shared" si="144"/>
        <v>#N/A</v>
      </c>
      <c r="AF150" t="str">
        <f t="shared" si="137"/>
        <v/>
      </c>
      <c r="AG150" t="str">
        <f>_xlfn.XLOOKUP(AB150,'Order Page'!X$27:X$393,'Order Page'!C$27:C$393,"")</f>
        <v>Acorus Calamus</v>
      </c>
      <c r="AH150">
        <f t="shared" si="138"/>
        <v>0</v>
      </c>
      <c r="AI150">
        <f t="shared" si="139"/>
        <v>0</v>
      </c>
      <c r="AJ150">
        <f t="shared" si="150"/>
        <v>0</v>
      </c>
      <c r="AK150">
        <f t="shared" si="145"/>
        <v>0</v>
      </c>
      <c r="AL150">
        <f>IF(OR(AD149&amp;AF149&lt;&gt;AD150&amp;AF150,AK150&lt;AK149),AK149,0)+MAX(AL$4:AL149)</f>
        <v>0</v>
      </c>
      <c r="AM150">
        <f t="shared" si="146"/>
        <v>0</v>
      </c>
      <c r="AO150" s="25" t="str">
        <f t="shared" si="147"/>
        <v/>
      </c>
      <c r="AP150" s="25" t="str">
        <f t="shared" si="140"/>
        <v/>
      </c>
      <c r="AQ150" t="str">
        <f t="shared" si="148"/>
        <v/>
      </c>
      <c r="AR150" t="str">
        <f t="shared" si="141"/>
        <v/>
      </c>
      <c r="AS150">
        <f t="shared" si="142"/>
        <v>0</v>
      </c>
      <c r="AT150">
        <f t="shared" si="149"/>
        <v>0</v>
      </c>
      <c r="AU150" t="str">
        <f>_xlfn.XLOOKUP(AB150,'Order Page'!X$24:X$378,'Order Page'!B$24:B$378,0)</f>
        <v>x6</v>
      </c>
      <c r="AV150">
        <f>_xlfn.XLOOKUP(AB150,'Order Page'!X$24:X$378,'Order Page'!O$24:O$378,0)</f>
        <v>38</v>
      </c>
      <c r="AW150" s="264"/>
    </row>
    <row r="151" spans="1:49" x14ac:dyDescent="0.25">
      <c r="A151">
        <v>14</v>
      </c>
      <c r="B151" t="e">
        <f t="shared" si="151"/>
        <v>#N/A</v>
      </c>
      <c r="D151" t="e">
        <f>IF(E$89-SUM(D$138:D150)-B151&gt;=0,B151,0)</f>
        <v>#N/A</v>
      </c>
      <c r="E151" t="e">
        <f>IF(COUNTIF(E$138:E150,"&lt;0")=0,IF(AND(D$154&gt;0,D151&gt;0,SUM(B$138:B$152)&lt;&gt;SUM(D$138:D$152)),-D151,0),IF(AND(D151=0,B151&gt;0),IF(D$154-SUM(E$138:E150)-B151&gt;=0,B151,0),0))</f>
        <v>#N/A</v>
      </c>
      <c r="F151" t="e">
        <f t="shared" si="152"/>
        <v>#N/A</v>
      </c>
      <c r="G151" t="e">
        <f>IF(F151&gt;0,F151*10+COUNTIF(F$138:F151,F151)+J132,0)</f>
        <v>#N/A</v>
      </c>
      <c r="H151" t="e">
        <f t="shared" si="154"/>
        <v>#N/A</v>
      </c>
      <c r="J151">
        <f t="shared" si="153"/>
        <v>30</v>
      </c>
      <c r="L151">
        <v>148</v>
      </c>
      <c r="M151">
        <f>_xlfn.XLOOKUP(L151,'Order Page'!X$27:X$393,'Order Page'!T$27:T$393,0)</f>
        <v>0</v>
      </c>
      <c r="N151">
        <f>_xlfn.XLOOKUP(L151,'Order Page'!X$27:X$393,'Order Page'!R$27:R$393,0)</f>
        <v>0</v>
      </c>
      <c r="O151" t="str">
        <f t="shared" si="131"/>
        <v/>
      </c>
      <c r="P151" t="str">
        <f t="shared" si="132"/>
        <v/>
      </c>
      <c r="Q151" s="263"/>
      <c r="R151">
        <v>148</v>
      </c>
      <c r="S151">
        <f t="shared" si="143"/>
        <v>1</v>
      </c>
      <c r="T151">
        <f t="shared" si="133"/>
        <v>0</v>
      </c>
      <c r="U151">
        <f>_xlfn.XLOOKUP(T151,'Order Page'!X$27:X$393,'Order Page'!U$27:U$393,"")</f>
        <v>0</v>
      </c>
      <c r="W151" t="str">
        <f t="shared" si="134"/>
        <v/>
      </c>
      <c r="X151" t="str">
        <f t="shared" si="135"/>
        <v/>
      </c>
      <c r="Y151" t="str">
        <f>_xlfn.XLOOKUP(T151,'Order Page'!X$27:X$393,'Order Page'!C$27:C$393,"")</f>
        <v>Acorus Calamus</v>
      </c>
      <c r="Z151" s="264"/>
      <c r="AA151">
        <v>148</v>
      </c>
      <c r="AB151" cm="1">
        <f t="array" ref="AB151">VLOOKUP(ROW(148:148),S$4:T$153,2)</f>
        <v>0</v>
      </c>
      <c r="AD151" t="str">
        <f t="shared" si="136"/>
        <v/>
      </c>
      <c r="AE151" t="e">
        <f t="shared" si="144"/>
        <v>#N/A</v>
      </c>
      <c r="AF151" t="str">
        <f t="shared" si="137"/>
        <v/>
      </c>
      <c r="AG151" t="str">
        <f>_xlfn.XLOOKUP(AB151,'Order Page'!X$27:X$393,'Order Page'!C$27:C$393,"")</f>
        <v>Acorus Calamus</v>
      </c>
      <c r="AH151">
        <f t="shared" si="138"/>
        <v>0</v>
      </c>
      <c r="AI151">
        <f t="shared" si="139"/>
        <v>0</v>
      </c>
      <c r="AJ151">
        <f t="shared" si="150"/>
        <v>0</v>
      </c>
      <c r="AK151">
        <f t="shared" si="145"/>
        <v>0</v>
      </c>
      <c r="AL151">
        <f>IF(OR(AD150&amp;AF150&lt;&gt;AD151&amp;AF151,AK151&lt;AK150),AK150,0)+MAX(AL$4:AL150)</f>
        <v>0</v>
      </c>
      <c r="AM151">
        <f t="shared" si="146"/>
        <v>0</v>
      </c>
      <c r="AO151" s="25" t="str">
        <f t="shared" si="147"/>
        <v/>
      </c>
      <c r="AP151" s="25" t="str">
        <f t="shared" si="140"/>
        <v/>
      </c>
      <c r="AQ151" t="str">
        <f t="shared" si="148"/>
        <v/>
      </c>
      <c r="AR151" t="str">
        <f t="shared" si="141"/>
        <v/>
      </c>
      <c r="AS151">
        <f t="shared" si="142"/>
        <v>0</v>
      </c>
      <c r="AT151">
        <f t="shared" si="149"/>
        <v>0</v>
      </c>
      <c r="AU151" t="str">
        <f>_xlfn.XLOOKUP(AB151,'Order Page'!X$24:X$378,'Order Page'!B$24:B$378,0)</f>
        <v>x6</v>
      </c>
      <c r="AV151">
        <f>_xlfn.XLOOKUP(AB151,'Order Page'!X$24:X$378,'Order Page'!O$24:O$378,0)</f>
        <v>38</v>
      </c>
      <c r="AW151" s="264"/>
    </row>
    <row r="152" spans="1:49" x14ac:dyDescent="0.25">
      <c r="A152">
        <v>15</v>
      </c>
      <c r="B152" t="e">
        <f t="shared" si="151"/>
        <v>#N/A</v>
      </c>
      <c r="D152" t="e">
        <f>IF(E$89-SUM(D$138:D151)-B152&gt;=0,B152,0)</f>
        <v>#N/A</v>
      </c>
      <c r="E152" t="e">
        <f>IF(COUNTIF(E$138:E151,"&lt;0")=0,IF(AND(D$154&gt;0,D152&gt;0,SUM(B$138:B$152)&lt;&gt;SUM(D$138:D$152)),-D152,0),IF(AND(D152=0,B152&gt;0),IF(D$154-SUM(E$138:E151)-B152&gt;=0,B152,0),0))</f>
        <v>#N/A</v>
      </c>
      <c r="F152" t="e">
        <f t="shared" si="152"/>
        <v>#N/A</v>
      </c>
      <c r="G152" t="e">
        <f>IF(F152&gt;0,F152*10+COUNTIF(F$138:F152,F152)+J133,0)</f>
        <v>#N/A</v>
      </c>
      <c r="H152" t="e">
        <f t="shared" si="154"/>
        <v>#N/A</v>
      </c>
      <c r="J152">
        <f t="shared" si="153"/>
        <v>30</v>
      </c>
      <c r="L152">
        <v>149</v>
      </c>
      <c r="M152">
        <f>_xlfn.XLOOKUP(L152,'Order Page'!X$27:X$393,'Order Page'!T$27:T$393,0)</f>
        <v>0</v>
      </c>
      <c r="N152">
        <f>_xlfn.XLOOKUP(L152,'Order Page'!X$27:X$393,'Order Page'!R$27:R$393,0)</f>
        <v>0</v>
      </c>
      <c r="O152" t="str">
        <f t="shared" si="131"/>
        <v/>
      </c>
      <c r="P152" t="str">
        <f t="shared" si="132"/>
        <v/>
      </c>
      <c r="Q152" s="263"/>
      <c r="R152">
        <v>149</v>
      </c>
      <c r="S152">
        <f t="shared" si="143"/>
        <v>1</v>
      </c>
      <c r="T152">
        <f t="shared" si="133"/>
        <v>0</v>
      </c>
      <c r="U152">
        <f>_xlfn.XLOOKUP(T152,'Order Page'!X$27:X$393,'Order Page'!U$27:U$393,"")</f>
        <v>0</v>
      </c>
      <c r="W152" t="str">
        <f t="shared" si="134"/>
        <v/>
      </c>
      <c r="X152" t="str">
        <f t="shared" si="135"/>
        <v/>
      </c>
      <c r="Y152" t="str">
        <f>_xlfn.XLOOKUP(T152,'Order Page'!X$27:X$393,'Order Page'!C$27:C$393,"")</f>
        <v>Acorus Calamus</v>
      </c>
      <c r="Z152" s="264"/>
      <c r="AA152">
        <v>149</v>
      </c>
      <c r="AB152" cm="1">
        <f t="array" ref="AB152">VLOOKUP(ROW(149:149),S$4:T$153,2)</f>
        <v>0</v>
      </c>
      <c r="AD152" t="str">
        <f t="shared" si="136"/>
        <v/>
      </c>
      <c r="AE152" t="e">
        <f t="shared" si="144"/>
        <v>#N/A</v>
      </c>
      <c r="AF152" t="str">
        <f t="shared" si="137"/>
        <v/>
      </c>
      <c r="AG152" t="str">
        <f>_xlfn.XLOOKUP(AB152,'Order Page'!X$27:X$393,'Order Page'!C$27:C$393,"")</f>
        <v>Acorus Calamus</v>
      </c>
      <c r="AH152">
        <f t="shared" si="138"/>
        <v>0</v>
      </c>
      <c r="AI152">
        <f t="shared" si="139"/>
        <v>0</v>
      </c>
      <c r="AJ152">
        <f t="shared" si="150"/>
        <v>0</v>
      </c>
      <c r="AK152">
        <f t="shared" si="145"/>
        <v>0</v>
      </c>
      <c r="AL152">
        <f>IF(OR(AD151&amp;AF151&lt;&gt;AD152&amp;AF152,AK152&lt;AK151),AK151,0)+MAX(AL$4:AL151)</f>
        <v>0</v>
      </c>
      <c r="AM152">
        <f t="shared" si="146"/>
        <v>0</v>
      </c>
      <c r="AO152" s="25" t="str">
        <f t="shared" si="147"/>
        <v/>
      </c>
      <c r="AP152" s="25" t="str">
        <f t="shared" si="140"/>
        <v/>
      </c>
      <c r="AQ152" t="str">
        <f t="shared" si="148"/>
        <v/>
      </c>
      <c r="AR152" t="str">
        <f t="shared" si="141"/>
        <v/>
      </c>
      <c r="AS152">
        <f t="shared" si="142"/>
        <v>0</v>
      </c>
      <c r="AT152">
        <f t="shared" si="149"/>
        <v>0</v>
      </c>
      <c r="AU152" t="str">
        <f>_xlfn.XLOOKUP(AB152,'Order Page'!X$24:X$378,'Order Page'!B$24:B$378,0)</f>
        <v>x6</v>
      </c>
      <c r="AV152">
        <f>_xlfn.XLOOKUP(AB152,'Order Page'!X$24:X$378,'Order Page'!O$24:O$378,0)</f>
        <v>38</v>
      </c>
      <c r="AW152" s="264"/>
    </row>
    <row r="153" spans="1:49" x14ac:dyDescent="0.25">
      <c r="D153">
        <f>C$98-COUNTIF(D100:D114,"&gt;"&amp;0)-COUNTIF(D138:D152,"&gt;"&amp;0)-COUNTIF(D119:D133,"&gt;"&amp;0)</f>
        <v>0</v>
      </c>
      <c r="L153">
        <v>150</v>
      </c>
      <c r="M153">
        <f>_xlfn.XLOOKUP(L153,'Order Page'!X$27:X$393,'Order Page'!T$27:T$393,0)</f>
        <v>0</v>
      </c>
      <c r="N153">
        <f>_xlfn.XLOOKUP(L153,'Order Page'!X$27:X$393,'Order Page'!R$27:R$393,0)</f>
        <v>0</v>
      </c>
      <c r="O153" t="str">
        <f t="shared" si="131"/>
        <v/>
      </c>
      <c r="P153" t="str">
        <f t="shared" si="132"/>
        <v/>
      </c>
      <c r="Q153" s="263"/>
      <c r="R153">
        <v>150</v>
      </c>
      <c r="S153">
        <f t="shared" si="143"/>
        <v>1</v>
      </c>
      <c r="T153">
        <f t="shared" si="133"/>
        <v>0</v>
      </c>
      <c r="U153">
        <f>_xlfn.XLOOKUP(T153,'Order Page'!X$27:X$393,'Order Page'!U$27:U$393,"")</f>
        <v>0</v>
      </c>
      <c r="W153" t="str">
        <f t="shared" si="134"/>
        <v/>
      </c>
      <c r="X153" t="str">
        <f t="shared" si="135"/>
        <v/>
      </c>
      <c r="Y153" t="str">
        <f>_xlfn.XLOOKUP(T153,'Order Page'!X$27:X$393,'Order Page'!C$27:C$393,"")</f>
        <v>Acorus Calamus</v>
      </c>
      <c r="Z153" s="264"/>
      <c r="AA153">
        <v>150</v>
      </c>
      <c r="AB153" cm="1">
        <f t="array" ref="AB153">VLOOKUP(ROW(150:150),S$4:T$153,2)</f>
        <v>0</v>
      </c>
      <c r="AD153" t="str">
        <f t="shared" si="136"/>
        <v/>
      </c>
      <c r="AE153" t="e">
        <f t="shared" si="144"/>
        <v>#N/A</v>
      </c>
      <c r="AF153" t="str">
        <f t="shared" si="137"/>
        <v/>
      </c>
      <c r="AG153" t="str">
        <f>_xlfn.XLOOKUP(AB153,'Order Page'!X$27:X$393,'Order Page'!C$27:C$393,"")</f>
        <v>Acorus Calamus</v>
      </c>
      <c r="AH153">
        <f t="shared" si="138"/>
        <v>0</v>
      </c>
      <c r="AI153">
        <f t="shared" si="139"/>
        <v>0</v>
      </c>
      <c r="AJ153">
        <f t="shared" si="150"/>
        <v>0</v>
      </c>
      <c r="AK153">
        <f t="shared" si="145"/>
        <v>0</v>
      </c>
      <c r="AL153">
        <f>IF(OR(AD152&amp;AF152&lt;&gt;AD153&amp;AF153,AK153&lt;AK152),AK152,0)+MAX(AL$4:AL152)</f>
        <v>0</v>
      </c>
      <c r="AM153">
        <f t="shared" si="146"/>
        <v>0</v>
      </c>
      <c r="AO153" s="25" t="str">
        <f t="shared" si="147"/>
        <v/>
      </c>
      <c r="AP153" s="25" t="str">
        <f t="shared" si="140"/>
        <v/>
      </c>
      <c r="AQ153" t="str">
        <f t="shared" si="148"/>
        <v/>
      </c>
      <c r="AR153" t="str">
        <f t="shared" si="141"/>
        <v/>
      </c>
      <c r="AS153">
        <f t="shared" si="142"/>
        <v>0</v>
      </c>
      <c r="AT153">
        <f t="shared" si="149"/>
        <v>0</v>
      </c>
      <c r="AU153" t="str">
        <f>_xlfn.XLOOKUP(AB153,'Order Page'!X$24:X$378,'Order Page'!B$24:B$378,0)</f>
        <v>x6</v>
      </c>
      <c r="AV153">
        <f>_xlfn.XLOOKUP(AB153,'Order Page'!X$24:X$378,'Order Page'!O$24:O$378,0)</f>
        <v>38</v>
      </c>
      <c r="AW153" s="264"/>
    </row>
    <row r="154" spans="1:49" x14ac:dyDescent="0.25">
      <c r="A154" t="s">
        <v>701</v>
      </c>
      <c r="D154" t="e">
        <f>E89-SUM(D138:D152)</f>
        <v>#N/A</v>
      </c>
      <c r="E154" t="e">
        <f>D154-SUM(E138:E152)</f>
        <v>#N/A</v>
      </c>
      <c r="O154">
        <v>0</v>
      </c>
      <c r="Z154" s="264"/>
      <c r="AA154">
        <v>151</v>
      </c>
      <c r="AB154" cm="1">
        <f t="array" ref="AB154">VLOOKUP(ROW(151:151),S$4:T$153,2)</f>
        <v>0</v>
      </c>
      <c r="AD154" t="str">
        <f t="shared" si="136"/>
        <v/>
      </c>
      <c r="AE154" t="e">
        <f t="shared" si="144"/>
        <v>#N/A</v>
      </c>
      <c r="AF154" t="str">
        <f t="shared" si="137"/>
        <v/>
      </c>
      <c r="AG154" t="str">
        <f>_xlfn.XLOOKUP(AB154,'Order Page'!X$27:X$393,'Order Page'!C$27:C$393,"")</f>
        <v>Acorus Calamus</v>
      </c>
      <c r="AH154">
        <f t="shared" si="138"/>
        <v>0</v>
      </c>
      <c r="AI154">
        <f t="shared" si="139"/>
        <v>0</v>
      </c>
      <c r="AJ154">
        <f t="shared" si="150"/>
        <v>0</v>
      </c>
      <c r="AK154">
        <f t="shared" si="145"/>
        <v>0</v>
      </c>
      <c r="AL154">
        <f>IF(OR(AD153&amp;AF153&lt;&gt;AD154&amp;AF154,AK154&lt;AK153),AK153,0)+MAX(AL$4:AL153)</f>
        <v>0</v>
      </c>
      <c r="AM154">
        <f t="shared" si="146"/>
        <v>0</v>
      </c>
      <c r="AO154" s="25" t="str">
        <f t="shared" si="147"/>
        <v/>
      </c>
      <c r="AP154" s="25" t="str">
        <f t="shared" si="140"/>
        <v/>
      </c>
      <c r="AQ154" t="str">
        <f t="shared" si="148"/>
        <v/>
      </c>
      <c r="AR154" t="str">
        <f t="shared" si="141"/>
        <v/>
      </c>
      <c r="AS154">
        <f t="shared" si="142"/>
        <v>0</v>
      </c>
      <c r="AT154">
        <f t="shared" si="149"/>
        <v>0</v>
      </c>
      <c r="AU154" t="str">
        <f>_xlfn.XLOOKUP(AB154,'Order Page'!X$24:X$378,'Order Page'!B$24:B$378,0)</f>
        <v>x6</v>
      </c>
      <c r="AV154">
        <f>_xlfn.XLOOKUP(AB154,'Order Page'!X$24:X$378,'Order Page'!O$24:O$378,0)</f>
        <v>38</v>
      </c>
      <c r="AW154" s="264"/>
    </row>
    <row r="155" spans="1:49" x14ac:dyDescent="0.25">
      <c r="Z155" s="264"/>
      <c r="AA155">
        <v>152</v>
      </c>
      <c r="AB155" cm="1">
        <f t="array" ref="AB155">VLOOKUP(ROW(152:152),S$4:T$153,2)</f>
        <v>0</v>
      </c>
      <c r="AD155" t="str">
        <f t="shared" si="136"/>
        <v/>
      </c>
      <c r="AE155" t="e">
        <f t="shared" si="144"/>
        <v>#N/A</v>
      </c>
      <c r="AF155" t="str">
        <f t="shared" si="137"/>
        <v/>
      </c>
      <c r="AG155" t="str">
        <f>_xlfn.XLOOKUP(AB155,'Order Page'!X$27:X$393,'Order Page'!C$27:C$393,"")</f>
        <v>Acorus Calamus</v>
      </c>
      <c r="AH155">
        <f t="shared" si="138"/>
        <v>0</v>
      </c>
      <c r="AI155">
        <f t="shared" si="139"/>
        <v>0</v>
      </c>
      <c r="AJ155">
        <f t="shared" si="150"/>
        <v>0</v>
      </c>
      <c r="AK155">
        <f t="shared" si="145"/>
        <v>0</v>
      </c>
      <c r="AL155">
        <f>IF(OR(AD154&amp;AF154&lt;&gt;AD155&amp;AF155,AK155&lt;AK154),AK154,0)+MAX(AL$4:AL154)</f>
        <v>0</v>
      </c>
      <c r="AM155">
        <f t="shared" si="146"/>
        <v>0</v>
      </c>
      <c r="AO155" s="25" t="str">
        <f t="shared" si="147"/>
        <v/>
      </c>
      <c r="AP155" s="25" t="str">
        <f t="shared" si="140"/>
        <v/>
      </c>
      <c r="AQ155" t="str">
        <f t="shared" si="148"/>
        <v/>
      </c>
      <c r="AR155" t="str">
        <f t="shared" si="141"/>
        <v/>
      </c>
      <c r="AS155">
        <f t="shared" si="142"/>
        <v>0</v>
      </c>
      <c r="AT155">
        <f t="shared" si="149"/>
        <v>0</v>
      </c>
      <c r="AU155" t="str">
        <f>_xlfn.XLOOKUP(AB155,'Order Page'!X$24:X$378,'Order Page'!B$24:B$378,0)</f>
        <v>x6</v>
      </c>
      <c r="AV155">
        <f>_xlfn.XLOOKUP(AB155,'Order Page'!X$24:X$378,'Order Page'!O$24:O$378,0)</f>
        <v>38</v>
      </c>
      <c r="AW155" s="264"/>
    </row>
    <row r="156" spans="1:49" x14ac:dyDescent="0.25">
      <c r="A156" s="21" t="s">
        <v>704</v>
      </c>
      <c r="E156" t="s">
        <v>699</v>
      </c>
      <c r="F156" t="s">
        <v>702</v>
      </c>
      <c r="G156" t="s">
        <v>700</v>
      </c>
      <c r="H156" t="s">
        <v>611</v>
      </c>
      <c r="Z156" s="264"/>
      <c r="AA156">
        <v>153</v>
      </c>
      <c r="AB156" cm="1">
        <f t="array" ref="AB156">VLOOKUP(ROW(153:153),S$4:T$153,2)</f>
        <v>0</v>
      </c>
      <c r="AD156" t="str">
        <f t="shared" si="136"/>
        <v/>
      </c>
      <c r="AE156" t="e">
        <f t="shared" si="144"/>
        <v>#N/A</v>
      </c>
      <c r="AF156" t="str">
        <f t="shared" si="137"/>
        <v/>
      </c>
      <c r="AG156" t="str">
        <f>_xlfn.XLOOKUP(AB156,'Order Page'!X$27:X$393,'Order Page'!C$27:C$393,"")</f>
        <v>Acorus Calamus</v>
      </c>
      <c r="AH156">
        <f t="shared" si="138"/>
        <v>0</v>
      </c>
      <c r="AI156">
        <f t="shared" si="139"/>
        <v>0</v>
      </c>
      <c r="AJ156">
        <f t="shared" si="150"/>
        <v>0</v>
      </c>
      <c r="AK156">
        <f t="shared" si="145"/>
        <v>0</v>
      </c>
      <c r="AL156">
        <f>IF(OR(AD155&amp;AF155&lt;&gt;AD156&amp;AF156,AK156&lt;AK155),AK155,0)+MAX(AL$4:AL155)</f>
        <v>0</v>
      </c>
      <c r="AM156">
        <f t="shared" si="146"/>
        <v>0</v>
      </c>
      <c r="AO156" s="25" t="str">
        <f t="shared" si="147"/>
        <v/>
      </c>
      <c r="AP156" s="25" t="str">
        <f t="shared" si="140"/>
        <v/>
      </c>
      <c r="AQ156" t="str">
        <f t="shared" si="148"/>
        <v/>
      </c>
      <c r="AR156" t="str">
        <f t="shared" si="141"/>
        <v/>
      </c>
      <c r="AS156">
        <f t="shared" si="142"/>
        <v>0</v>
      </c>
      <c r="AT156">
        <f t="shared" si="149"/>
        <v>0</v>
      </c>
      <c r="AU156" t="str">
        <f>_xlfn.XLOOKUP(AB156,'Order Page'!X$24:X$378,'Order Page'!B$24:B$378,0)</f>
        <v>x6</v>
      </c>
      <c r="AV156">
        <f>_xlfn.XLOOKUP(AB156,'Order Page'!X$24:X$378,'Order Page'!O$24:O$378,0)</f>
        <v>38</v>
      </c>
      <c r="AW156" s="264"/>
    </row>
    <row r="157" spans="1:49" x14ac:dyDescent="0.25">
      <c r="A157">
        <v>1</v>
      </c>
      <c r="B157" t="e">
        <f>IF(AND(H138=0,B138&gt;0),B138,0)</f>
        <v>#N/A</v>
      </c>
      <c r="D157" t="e">
        <f>IF(F$89-B157&gt;=0,B157,0)</f>
        <v>#N/A</v>
      </c>
      <c r="E157" t="e">
        <f>IF(AND(D173&gt;0,D157&gt;0,SUM(B$157:B$171)&lt;&gt;SUM(D$157:D$171)),-D157,0)</f>
        <v>#N/A</v>
      </c>
      <c r="F157" t="e">
        <f>D157+E157</f>
        <v>#N/A</v>
      </c>
      <c r="G157" t="e">
        <f>IF(F157&gt;0,F157*10+COUNTIF(F$157:F157,F157)+J138,0)</f>
        <v>#N/A</v>
      </c>
      <c r="H157" t="e">
        <f>IF(G157&gt;0,_xlfn.XLOOKUP(G157,K$61:K$80,B$61:B$80,0),0)</f>
        <v>#N/A</v>
      </c>
      <c r="J157">
        <f>COUNTIF(F$100:F$133,B157)</f>
        <v>30</v>
      </c>
      <c r="Z157" s="264"/>
      <c r="AA157">
        <v>154</v>
      </c>
      <c r="AB157" cm="1">
        <f t="array" ref="AB157">VLOOKUP(ROW(154:154),S$4:T$153,2)</f>
        <v>0</v>
      </c>
      <c r="AD157" t="str">
        <f t="shared" si="136"/>
        <v/>
      </c>
      <c r="AE157" t="e">
        <f t="shared" si="144"/>
        <v>#N/A</v>
      </c>
      <c r="AF157" t="str">
        <f t="shared" si="137"/>
        <v/>
      </c>
      <c r="AG157" t="str">
        <f>_xlfn.XLOOKUP(AB157,'Order Page'!X$27:X$393,'Order Page'!C$27:C$393,"")</f>
        <v>Acorus Calamus</v>
      </c>
      <c r="AH157">
        <f t="shared" si="138"/>
        <v>0</v>
      </c>
      <c r="AI157">
        <f t="shared" si="139"/>
        <v>0</v>
      </c>
      <c r="AJ157">
        <f t="shared" si="150"/>
        <v>0</v>
      </c>
      <c r="AK157">
        <f t="shared" si="145"/>
        <v>0</v>
      </c>
      <c r="AL157">
        <f>IF(OR(AD156&amp;AF156&lt;&gt;AD157&amp;AF157,AK157&lt;AK156),AK156,0)+MAX(AL$4:AL156)</f>
        <v>0</v>
      </c>
      <c r="AM157">
        <f t="shared" si="146"/>
        <v>0</v>
      </c>
      <c r="AO157" s="25" t="str">
        <f t="shared" si="147"/>
        <v/>
      </c>
      <c r="AP157" s="25" t="str">
        <f t="shared" si="140"/>
        <v/>
      </c>
      <c r="AQ157" t="str">
        <f t="shared" si="148"/>
        <v/>
      </c>
      <c r="AR157" t="str">
        <f t="shared" si="141"/>
        <v/>
      </c>
      <c r="AS157">
        <f t="shared" si="142"/>
        <v>0</v>
      </c>
      <c r="AT157">
        <f t="shared" si="149"/>
        <v>0</v>
      </c>
      <c r="AU157" t="str">
        <f>_xlfn.XLOOKUP(AB157,'Order Page'!X$24:X$378,'Order Page'!B$24:B$378,0)</f>
        <v>x6</v>
      </c>
      <c r="AV157">
        <f>_xlfn.XLOOKUP(AB157,'Order Page'!X$24:X$378,'Order Page'!O$24:O$378,0)</f>
        <v>38</v>
      </c>
      <c r="AW157" s="264"/>
    </row>
    <row r="158" spans="1:49" x14ac:dyDescent="0.25">
      <c r="A158">
        <v>2</v>
      </c>
      <c r="B158" t="e">
        <f>IF(AND(H139=0,B139&gt;0),B139,0)</f>
        <v>#N/A</v>
      </c>
      <c r="D158" t="e">
        <f>IF(F$89-SUM(D$157:D157)-B158&gt;=0,B158,0)</f>
        <v>#N/A</v>
      </c>
      <c r="E158" t="e">
        <f>IF(COUNTIF(E$157:E157,"&lt;0")=0,IF(AND(D$173&gt;0,D158&gt;0,SUM(B$157:B$171)&lt;&gt;SUM(D$157:D$171)),-D158,0),IF(AND(D158=0,B158&gt;0),IF(D$173-SUM(E$157:E157)-B158&gt;=0,B158,0),0))</f>
        <v>#N/A</v>
      </c>
      <c r="F158" t="e">
        <f>D158+E158</f>
        <v>#N/A</v>
      </c>
      <c r="G158" t="e">
        <f>IF(F158&gt;0,F158*10+COUNTIF(F$157:F158,F158)+J139,0)</f>
        <v>#N/A</v>
      </c>
      <c r="H158" t="e">
        <f>IF(G158&gt;0,_xlfn.XLOOKUP(G158,K$61:K$80,B$61:B$80,0),0)</f>
        <v>#N/A</v>
      </c>
      <c r="J158">
        <f t="shared" ref="J158:J171" si="155">COUNTIF(F$100:F$133,B158)</f>
        <v>30</v>
      </c>
      <c r="Z158" s="264"/>
      <c r="AA158">
        <v>155</v>
      </c>
      <c r="AB158" cm="1">
        <f t="array" ref="AB158">VLOOKUP(ROW(155:155),S$4:T$153,2)</f>
        <v>0</v>
      </c>
      <c r="AD158" t="str">
        <f t="shared" si="136"/>
        <v/>
      </c>
      <c r="AE158" t="e">
        <f t="shared" si="144"/>
        <v>#N/A</v>
      </c>
      <c r="AF158" t="str">
        <f t="shared" si="137"/>
        <v/>
      </c>
      <c r="AG158" t="str">
        <f>_xlfn.XLOOKUP(AB158,'Order Page'!X$27:X$393,'Order Page'!C$27:C$393,"")</f>
        <v>Acorus Calamus</v>
      </c>
      <c r="AH158">
        <f t="shared" si="138"/>
        <v>0</v>
      </c>
      <c r="AI158">
        <f t="shared" si="139"/>
        <v>0</v>
      </c>
      <c r="AJ158">
        <f t="shared" si="150"/>
        <v>0</v>
      </c>
      <c r="AK158">
        <f t="shared" si="145"/>
        <v>0</v>
      </c>
      <c r="AL158">
        <f>IF(OR(AD157&amp;AF157&lt;&gt;AD158&amp;AF158,AK158&lt;AK157),AK157,0)+MAX(AL$4:AL157)</f>
        <v>0</v>
      </c>
      <c r="AM158">
        <f t="shared" si="146"/>
        <v>0</v>
      </c>
      <c r="AO158" s="25" t="str">
        <f t="shared" si="147"/>
        <v/>
      </c>
      <c r="AP158" s="25" t="str">
        <f t="shared" si="140"/>
        <v/>
      </c>
      <c r="AQ158" t="str">
        <f t="shared" si="148"/>
        <v/>
      </c>
      <c r="AR158" t="str">
        <f t="shared" si="141"/>
        <v/>
      </c>
      <c r="AS158">
        <f t="shared" si="142"/>
        <v>0</v>
      </c>
      <c r="AT158">
        <f t="shared" si="149"/>
        <v>0</v>
      </c>
      <c r="AU158" t="str">
        <f>_xlfn.XLOOKUP(AB158,'Order Page'!X$24:X$378,'Order Page'!B$24:B$378,0)</f>
        <v>x6</v>
      </c>
      <c r="AV158">
        <f>_xlfn.XLOOKUP(AB158,'Order Page'!X$24:X$378,'Order Page'!O$24:O$378,0)</f>
        <v>38</v>
      </c>
      <c r="AW158" s="264"/>
    </row>
    <row r="159" spans="1:49" x14ac:dyDescent="0.25">
      <c r="A159">
        <v>3</v>
      </c>
      <c r="B159" t="e">
        <f t="shared" ref="B159:B171" si="156">IF(AND(H140=0,B140&gt;0),B140,0)</f>
        <v>#N/A</v>
      </c>
      <c r="D159" t="e">
        <f>IF(F$89-SUM(D$157:D158)-B159&gt;=0,B159,0)</f>
        <v>#N/A</v>
      </c>
      <c r="E159" t="e">
        <f>IF(COUNTIF(E$157:E158,"&lt;0")=0,IF(AND(D$173&gt;0,D159&gt;0,SUM(B$157:B$171)&lt;&gt;SUM(D$157:D$171)),-D159,0),IF(AND(D159=0,B159&gt;0),IF(D$173-SUM(E$157:E158)-B159&gt;=0,B159,0),0))</f>
        <v>#N/A</v>
      </c>
      <c r="F159" t="e">
        <f t="shared" ref="F159:F171" si="157">D159+E159</f>
        <v>#N/A</v>
      </c>
      <c r="G159" t="e">
        <f>IF(F159&gt;0,F159*10+COUNTIF(F$157:F159,F159)+J140,0)</f>
        <v>#N/A</v>
      </c>
      <c r="H159" t="e">
        <f>IF(G159&gt;0,_xlfn.XLOOKUP(G159,K$61:K$80,B$61:B$80,0),0)</f>
        <v>#N/A</v>
      </c>
      <c r="J159">
        <f t="shared" si="155"/>
        <v>30</v>
      </c>
      <c r="Z159" s="264"/>
      <c r="AA159">
        <v>156</v>
      </c>
      <c r="AB159" cm="1">
        <f t="array" ref="AB159">VLOOKUP(ROW(156:156),S$4:T$153,2)</f>
        <v>0</v>
      </c>
      <c r="AD159" t="str">
        <f t="shared" si="136"/>
        <v/>
      </c>
      <c r="AE159" t="e">
        <f t="shared" si="144"/>
        <v>#N/A</v>
      </c>
      <c r="AF159" t="str">
        <f t="shared" si="137"/>
        <v/>
      </c>
      <c r="AG159" t="str">
        <f>_xlfn.XLOOKUP(AB159,'Order Page'!X$27:X$393,'Order Page'!C$27:C$393,"")</f>
        <v>Acorus Calamus</v>
      </c>
      <c r="AH159">
        <f t="shared" si="138"/>
        <v>0</v>
      </c>
      <c r="AI159">
        <f t="shared" si="139"/>
        <v>0</v>
      </c>
      <c r="AJ159">
        <f t="shared" si="150"/>
        <v>0</v>
      </c>
      <c r="AK159">
        <f t="shared" si="145"/>
        <v>0</v>
      </c>
      <c r="AL159">
        <f>IF(OR(AD158&amp;AF158&lt;&gt;AD159&amp;AF159,AK159&lt;AK158),AK158,0)+MAX(AL$4:AL158)</f>
        <v>0</v>
      </c>
      <c r="AM159">
        <f t="shared" si="146"/>
        <v>0</v>
      </c>
      <c r="AO159" s="25" t="str">
        <f t="shared" si="147"/>
        <v/>
      </c>
      <c r="AP159" s="25" t="str">
        <f t="shared" si="140"/>
        <v/>
      </c>
      <c r="AQ159" t="str">
        <f t="shared" si="148"/>
        <v/>
      </c>
      <c r="AR159" t="str">
        <f t="shared" si="141"/>
        <v/>
      </c>
      <c r="AS159">
        <f t="shared" si="142"/>
        <v>0</v>
      </c>
      <c r="AT159">
        <f t="shared" si="149"/>
        <v>0</v>
      </c>
      <c r="AU159" t="str">
        <f>_xlfn.XLOOKUP(AB159,'Order Page'!X$24:X$378,'Order Page'!B$24:B$378,0)</f>
        <v>x6</v>
      </c>
      <c r="AV159">
        <f>_xlfn.XLOOKUP(AB159,'Order Page'!X$24:X$378,'Order Page'!O$24:O$378,0)</f>
        <v>38</v>
      </c>
      <c r="AW159" s="264"/>
    </row>
    <row r="160" spans="1:49" x14ac:dyDescent="0.25">
      <c r="A160">
        <v>4</v>
      </c>
      <c r="B160" t="e">
        <f t="shared" si="156"/>
        <v>#N/A</v>
      </c>
      <c r="D160" t="e">
        <f>IF(F$89-SUM(D$157:D159)-B160&gt;=0,B160,0)</f>
        <v>#N/A</v>
      </c>
      <c r="E160" t="e">
        <f>IF(COUNTIF(E$157:E159,"&lt;0")=0,IF(AND(D$173&gt;0,D160&gt;0,SUM(B$157:B$171)&lt;&gt;SUM(D$157:D$171)),-D160,0),IF(AND(D160=0,B160&gt;0),IF(D$173-SUM(E$157:E159)-B160&gt;=0,B160,0),0))</f>
        <v>#N/A</v>
      </c>
      <c r="F160" t="e">
        <f t="shared" si="157"/>
        <v>#N/A</v>
      </c>
      <c r="G160" t="e">
        <f>IF(F160&gt;0,F160*10+COUNTIF(F$157:F160,F160)+J141,0)</f>
        <v>#N/A</v>
      </c>
      <c r="H160" t="e">
        <f t="shared" ref="H160:H171" si="158">IF(G160&gt;0,_xlfn.XLOOKUP(G160,K$61:K$80,B$61:B$80,0),0)</f>
        <v>#N/A</v>
      </c>
      <c r="J160">
        <f t="shared" si="155"/>
        <v>30</v>
      </c>
      <c r="Z160" s="264"/>
      <c r="AA160">
        <v>157</v>
      </c>
      <c r="AB160" cm="1">
        <f t="array" ref="AB160">VLOOKUP(ROW(157:157),S$4:T$153,2)</f>
        <v>0</v>
      </c>
      <c r="AD160" t="str">
        <f t="shared" si="136"/>
        <v/>
      </c>
      <c r="AE160" t="e">
        <f t="shared" si="144"/>
        <v>#N/A</v>
      </c>
      <c r="AF160" t="str">
        <f t="shared" si="137"/>
        <v/>
      </c>
      <c r="AG160" t="str">
        <f>_xlfn.XLOOKUP(AB160,'Order Page'!X$27:X$393,'Order Page'!C$27:C$393,"")</f>
        <v>Acorus Calamus</v>
      </c>
      <c r="AH160">
        <f t="shared" si="138"/>
        <v>0</v>
      </c>
      <c r="AI160">
        <f t="shared" si="139"/>
        <v>0</v>
      </c>
      <c r="AJ160">
        <f t="shared" si="150"/>
        <v>0</v>
      </c>
      <c r="AK160">
        <f t="shared" si="145"/>
        <v>0</v>
      </c>
      <c r="AL160">
        <f>IF(OR(AD159&amp;AF159&lt;&gt;AD160&amp;AF160,AK160&lt;AK159),AK159,0)+MAX(AL$4:AL159)</f>
        <v>0</v>
      </c>
      <c r="AM160">
        <f t="shared" si="146"/>
        <v>0</v>
      </c>
      <c r="AO160" s="25" t="str">
        <f t="shared" si="147"/>
        <v/>
      </c>
      <c r="AP160" s="25" t="str">
        <f t="shared" si="140"/>
        <v/>
      </c>
      <c r="AQ160" t="str">
        <f t="shared" si="148"/>
        <v/>
      </c>
      <c r="AR160" t="str">
        <f t="shared" si="141"/>
        <v/>
      </c>
      <c r="AS160">
        <f t="shared" si="142"/>
        <v>0</v>
      </c>
      <c r="AT160">
        <f t="shared" si="149"/>
        <v>0</v>
      </c>
      <c r="AU160" t="str">
        <f>_xlfn.XLOOKUP(AB160,'Order Page'!X$24:X$378,'Order Page'!B$24:B$378,0)</f>
        <v>x6</v>
      </c>
      <c r="AV160">
        <f>_xlfn.XLOOKUP(AB160,'Order Page'!X$24:X$378,'Order Page'!O$24:O$378,0)</f>
        <v>38</v>
      </c>
      <c r="AW160" s="264"/>
    </row>
    <row r="161" spans="1:49" x14ac:dyDescent="0.25">
      <c r="A161">
        <v>5</v>
      </c>
      <c r="B161" t="e">
        <f t="shared" si="156"/>
        <v>#N/A</v>
      </c>
      <c r="D161" t="e">
        <f>IF(F$89-SUM(D$157:D160)-B161&gt;=0,B161,0)</f>
        <v>#N/A</v>
      </c>
      <c r="E161" t="e">
        <f>IF(COUNTIF(E$157:E160,"&lt;0")=0,IF(AND(D$173&gt;0,D161&gt;0,SUM(B$157:B$171)&lt;&gt;SUM(D$157:D$171)),-D161,0),IF(AND(D161=0,B161&gt;0),IF(D$173-SUM(E$157:E160)-B161&gt;=0,B161,0),0))</f>
        <v>#N/A</v>
      </c>
      <c r="F161" t="e">
        <f t="shared" si="157"/>
        <v>#N/A</v>
      </c>
      <c r="G161" t="e">
        <f>IF(F161&gt;0,F161*10+COUNTIF(F$157:F161,F161)+J142,0)</f>
        <v>#N/A</v>
      </c>
      <c r="H161" t="e">
        <f t="shared" si="158"/>
        <v>#N/A</v>
      </c>
      <c r="J161">
        <f t="shared" si="155"/>
        <v>30</v>
      </c>
      <c r="Z161" s="264"/>
      <c r="AA161">
        <v>158</v>
      </c>
      <c r="AB161" cm="1">
        <f t="array" ref="AB161">VLOOKUP(ROW(158:158),S$4:T$153,2)</f>
        <v>0</v>
      </c>
      <c r="AD161" t="str">
        <f t="shared" si="136"/>
        <v/>
      </c>
      <c r="AE161" t="e">
        <f t="shared" si="144"/>
        <v>#N/A</v>
      </c>
      <c r="AF161" t="str">
        <f t="shared" si="137"/>
        <v/>
      </c>
      <c r="AG161" t="str">
        <f>_xlfn.XLOOKUP(AB161,'Order Page'!X$27:X$393,'Order Page'!C$27:C$393,"")</f>
        <v>Acorus Calamus</v>
      </c>
      <c r="AH161">
        <f t="shared" si="138"/>
        <v>0</v>
      </c>
      <c r="AI161">
        <f t="shared" si="139"/>
        <v>0</v>
      </c>
      <c r="AJ161">
        <f t="shared" si="150"/>
        <v>0</v>
      </c>
      <c r="AK161">
        <f t="shared" si="145"/>
        <v>0</v>
      </c>
      <c r="AL161">
        <f>IF(OR(AD160&amp;AF160&lt;&gt;AD161&amp;AF161,AK161&lt;AK160),AK160,0)+MAX(AL$4:AL160)</f>
        <v>0</v>
      </c>
      <c r="AM161">
        <f t="shared" si="146"/>
        <v>0</v>
      </c>
      <c r="AO161" s="25" t="str">
        <f t="shared" si="147"/>
        <v/>
      </c>
      <c r="AP161" s="25" t="str">
        <f t="shared" si="140"/>
        <v/>
      </c>
      <c r="AQ161" t="str">
        <f t="shared" si="148"/>
        <v/>
      </c>
      <c r="AR161" t="str">
        <f t="shared" si="141"/>
        <v/>
      </c>
      <c r="AS161">
        <f t="shared" si="142"/>
        <v>0</v>
      </c>
      <c r="AT161">
        <f t="shared" si="149"/>
        <v>0</v>
      </c>
      <c r="AU161" t="str">
        <f>_xlfn.XLOOKUP(AB161,'Order Page'!X$24:X$378,'Order Page'!B$24:B$378,0)</f>
        <v>x6</v>
      </c>
      <c r="AV161">
        <f>_xlfn.XLOOKUP(AB161,'Order Page'!X$24:X$378,'Order Page'!O$24:O$378,0)</f>
        <v>38</v>
      </c>
      <c r="AW161" s="264"/>
    </row>
    <row r="162" spans="1:49" x14ac:dyDescent="0.25">
      <c r="A162">
        <v>6</v>
      </c>
      <c r="B162" t="e">
        <f t="shared" si="156"/>
        <v>#N/A</v>
      </c>
      <c r="D162" t="e">
        <f>IF(F$89-SUM(D$157:D161)-B162&gt;=0,B162,0)</f>
        <v>#N/A</v>
      </c>
      <c r="E162" t="e">
        <f>IF(COUNTIF(E$157:E161,"&lt;0")=0,IF(AND(D$173&gt;0,D162&gt;0,SUM(B$157:B$171)&lt;&gt;SUM(D$157:D$171)),-D162,0),IF(AND(D162=0,B162&gt;0),IF(D$173-SUM(E$157:E161)-B162&gt;=0,B162,0),0))</f>
        <v>#N/A</v>
      </c>
      <c r="F162" t="e">
        <f t="shared" si="157"/>
        <v>#N/A</v>
      </c>
      <c r="G162" t="e">
        <f>IF(F162&gt;0,F162*10+COUNTIF(F$157:F162,F162)+J143,0)</f>
        <v>#N/A</v>
      </c>
      <c r="H162" t="e">
        <f t="shared" si="158"/>
        <v>#N/A</v>
      </c>
      <c r="J162">
        <f t="shared" si="155"/>
        <v>30</v>
      </c>
      <c r="Z162" s="264"/>
      <c r="AA162">
        <v>159</v>
      </c>
      <c r="AB162" cm="1">
        <f t="array" ref="AB162">VLOOKUP(ROW(159:159),S$4:T$153,2)</f>
        <v>0</v>
      </c>
      <c r="AD162" t="str">
        <f t="shared" si="136"/>
        <v/>
      </c>
      <c r="AE162" t="e">
        <f t="shared" si="144"/>
        <v>#N/A</v>
      </c>
      <c r="AF162" t="str">
        <f t="shared" si="137"/>
        <v/>
      </c>
      <c r="AG162" t="str">
        <f>_xlfn.XLOOKUP(AB162,'Order Page'!X$27:X$393,'Order Page'!C$27:C$393,"")</f>
        <v>Acorus Calamus</v>
      </c>
      <c r="AH162">
        <f t="shared" si="138"/>
        <v>0</v>
      </c>
      <c r="AI162">
        <f t="shared" si="139"/>
        <v>0</v>
      </c>
      <c r="AJ162">
        <f t="shared" si="150"/>
        <v>0</v>
      </c>
      <c r="AK162">
        <f t="shared" si="145"/>
        <v>0</v>
      </c>
      <c r="AL162">
        <f>IF(OR(AD161&amp;AF161&lt;&gt;AD162&amp;AF162,AK162&lt;AK161),AK161,0)+MAX(AL$4:AL161)</f>
        <v>0</v>
      </c>
      <c r="AM162">
        <f t="shared" si="146"/>
        <v>0</v>
      </c>
      <c r="AO162" s="25" t="str">
        <f t="shared" si="147"/>
        <v/>
      </c>
      <c r="AP162" s="25" t="str">
        <f t="shared" si="140"/>
        <v/>
      </c>
      <c r="AQ162" t="str">
        <f t="shared" si="148"/>
        <v/>
      </c>
      <c r="AR162" t="str">
        <f t="shared" si="141"/>
        <v/>
      </c>
      <c r="AS162">
        <f t="shared" si="142"/>
        <v>0</v>
      </c>
      <c r="AT162">
        <f t="shared" si="149"/>
        <v>0</v>
      </c>
      <c r="AU162" t="str">
        <f>_xlfn.XLOOKUP(AB162,'Order Page'!X$24:X$378,'Order Page'!B$24:B$378,0)</f>
        <v>x6</v>
      </c>
      <c r="AV162">
        <f>_xlfn.XLOOKUP(AB162,'Order Page'!X$24:X$378,'Order Page'!O$24:O$378,0)</f>
        <v>38</v>
      </c>
      <c r="AW162" s="264"/>
    </row>
    <row r="163" spans="1:49" x14ac:dyDescent="0.25">
      <c r="A163">
        <v>7</v>
      </c>
      <c r="B163" t="e">
        <f t="shared" si="156"/>
        <v>#N/A</v>
      </c>
      <c r="D163" t="e">
        <f>IF(F$89-SUM(D$157:D162)-B163&gt;=0,B163,0)</f>
        <v>#N/A</v>
      </c>
      <c r="E163" t="e">
        <f>IF(COUNTIF(E$157:E162,"&lt;0")=0,IF(AND(D$173&gt;0,D163&gt;0,SUM(B$157:B$171)&lt;&gt;SUM(D$157:D$171)),-D163,0),IF(AND(D163=0,B163&gt;0),IF(D$173-SUM(E$157:E162)-B163&gt;=0,B163,0),0))</f>
        <v>#N/A</v>
      </c>
      <c r="F163" t="e">
        <f t="shared" si="157"/>
        <v>#N/A</v>
      </c>
      <c r="G163" t="e">
        <f>IF(F163&gt;0,F163*10+COUNTIF(F$157:F163,F163)+J144,0)</f>
        <v>#N/A</v>
      </c>
      <c r="H163" t="e">
        <f t="shared" si="158"/>
        <v>#N/A</v>
      </c>
      <c r="J163">
        <f t="shared" si="155"/>
        <v>30</v>
      </c>
      <c r="Z163" s="264"/>
      <c r="AA163">
        <v>160</v>
      </c>
      <c r="AB163" cm="1">
        <f t="array" ref="AB163">VLOOKUP(ROW(160:160),S$4:T$153,2)</f>
        <v>0</v>
      </c>
      <c r="AD163" t="str">
        <f t="shared" si="136"/>
        <v/>
      </c>
      <c r="AE163" t="e">
        <f t="shared" si="144"/>
        <v>#N/A</v>
      </c>
      <c r="AF163" t="str">
        <f t="shared" si="137"/>
        <v/>
      </c>
      <c r="AG163" t="str">
        <f>_xlfn.XLOOKUP(AB163,'Order Page'!X$27:X$393,'Order Page'!C$27:C$393,"")</f>
        <v>Acorus Calamus</v>
      </c>
      <c r="AH163">
        <f t="shared" si="138"/>
        <v>0</v>
      </c>
      <c r="AI163">
        <f t="shared" si="139"/>
        <v>0</v>
      </c>
      <c r="AJ163">
        <f t="shared" si="150"/>
        <v>0</v>
      </c>
      <c r="AK163">
        <f t="shared" si="145"/>
        <v>0</v>
      </c>
      <c r="AL163">
        <f>IF(OR(AD162&amp;AF162&lt;&gt;AD163&amp;AF163,AK163&lt;AK162),AK162,0)+MAX(AL$4:AL162)</f>
        <v>0</v>
      </c>
      <c r="AM163">
        <f t="shared" si="146"/>
        <v>0</v>
      </c>
      <c r="AO163" s="25" t="str">
        <f t="shared" si="147"/>
        <v/>
      </c>
      <c r="AP163" s="25" t="str">
        <f t="shared" si="140"/>
        <v/>
      </c>
      <c r="AQ163" t="str">
        <f t="shared" si="148"/>
        <v/>
      </c>
      <c r="AR163" t="str">
        <f t="shared" si="141"/>
        <v/>
      </c>
      <c r="AS163">
        <f t="shared" si="142"/>
        <v>0</v>
      </c>
      <c r="AT163">
        <f t="shared" si="149"/>
        <v>0</v>
      </c>
      <c r="AU163" t="str">
        <f>_xlfn.XLOOKUP(AB163,'Order Page'!X$24:X$378,'Order Page'!B$24:B$378,0)</f>
        <v>x6</v>
      </c>
      <c r="AV163">
        <f>_xlfn.XLOOKUP(AB163,'Order Page'!X$24:X$378,'Order Page'!O$24:O$378,0)</f>
        <v>38</v>
      </c>
      <c r="AW163" s="264"/>
    </row>
    <row r="164" spans="1:49" x14ac:dyDescent="0.25">
      <c r="A164">
        <v>8</v>
      </c>
      <c r="B164" t="e">
        <f t="shared" si="156"/>
        <v>#N/A</v>
      </c>
      <c r="D164" t="e">
        <f>IF(F$89-SUM(D$157:D163)-B164&gt;=0,B164,0)</f>
        <v>#N/A</v>
      </c>
      <c r="E164" t="e">
        <f>IF(COUNTIF(E$157:E163,"&lt;0")=0,IF(AND(D$173&gt;0,D164&gt;0,SUM(B$157:B$171)&lt;&gt;SUM(D$157:D$171)),-D164,0),IF(AND(D164=0,B164&gt;0),IF(D$173-SUM(E$157:E163)-B164&gt;=0,B164,0),0))</f>
        <v>#N/A</v>
      </c>
      <c r="F164" t="e">
        <f t="shared" si="157"/>
        <v>#N/A</v>
      </c>
      <c r="G164" t="e">
        <f>IF(F164&gt;0,F164*10+COUNTIF(F$157:F164,F164)+J145,0)</f>
        <v>#N/A</v>
      </c>
      <c r="H164" t="e">
        <f t="shared" si="158"/>
        <v>#N/A</v>
      </c>
      <c r="J164">
        <f t="shared" si="155"/>
        <v>30</v>
      </c>
      <c r="Z164" s="264"/>
      <c r="AA164">
        <v>161</v>
      </c>
      <c r="AB164" cm="1">
        <f t="array" ref="AB164">VLOOKUP(ROW(161:161),S$4:T$153,2)</f>
        <v>0</v>
      </c>
      <c r="AD164" t="str">
        <f t="shared" ref="AD164:AD195" si="159">_xlfn.XLOOKUP(AB164,L$4:L$153,M$4:M$153,"")</f>
        <v/>
      </c>
      <c r="AE164" t="e">
        <f t="shared" si="144"/>
        <v>#N/A</v>
      </c>
      <c r="AF164" t="str">
        <f t="shared" ref="AF164:AF195" si="160">_xlfn.XLOOKUP(AB164,L$4:L$153,N$4:N$153,"")</f>
        <v/>
      </c>
      <c r="AG164" t="str">
        <f>_xlfn.XLOOKUP(AB164,'Order Page'!X$27:X$393,'Order Page'!C$27:C$393,"")</f>
        <v>Acorus Calamus</v>
      </c>
      <c r="AH164">
        <f t="shared" ref="AH164:AH195" si="161">_xlfn.XLOOKUP(AD164&amp;AF164,E$5:E$35,H$5:H$35,0)</f>
        <v>0</v>
      </c>
      <c r="AI164">
        <f t="shared" ref="AI164:AI195" si="162">_xlfn.XLOOKUP(AD164,B$5:B$35,D$5:D$35,0)</f>
        <v>0</v>
      </c>
      <c r="AJ164">
        <f t="shared" si="150"/>
        <v>0</v>
      </c>
      <c r="AK164">
        <f t="shared" si="145"/>
        <v>0</v>
      </c>
      <c r="AL164">
        <f>IF(OR(AD163&amp;AF163&lt;&gt;AD164&amp;AF164,AK164&lt;AK163),AK163,0)+MAX(AL$4:AL163)</f>
        <v>0</v>
      </c>
      <c r="AM164">
        <f t="shared" si="146"/>
        <v>0</v>
      </c>
      <c r="AO164" s="25" t="str">
        <f t="shared" si="147"/>
        <v/>
      </c>
      <c r="AP164" s="25" t="str">
        <f t="shared" ref="AP164:AP195" si="163">IF(AND(AO164="Y",OR(AD164="Waterlily",AD164="Planted Contour Basket Standard",AD164="Planted Contour Basket Premium")),"Y","")</f>
        <v/>
      </c>
      <c r="AQ164" t="str">
        <f t="shared" si="148"/>
        <v/>
      </c>
      <c r="AR164" t="str">
        <f t="shared" ref="AR164:AR195" si="164">IFERROR(IF(AQ164&gt;0,RANK(AQ164,AQ$4:AQ$203,1),0)-AM$2,"")</f>
        <v/>
      </c>
      <c r="AS164">
        <f t="shared" ref="AS164:AS195" si="165">AM164+IF(AR164&lt;1,_xlfn.XLOOKUP(AR164,AX$4:AX$16,BE$4:BE$16,0))+IF(AR164&gt;0,_xlfn.XLOOKUP(AR164,AX$22:AX$103,BN$22:BN$103,0),0)</f>
        <v>0</v>
      </c>
      <c r="AT164">
        <f t="shared" si="149"/>
        <v>0</v>
      </c>
      <c r="AU164" t="str">
        <f>_xlfn.XLOOKUP(AB164,'Order Page'!X$24:X$378,'Order Page'!B$24:B$378,0)</f>
        <v>x6</v>
      </c>
      <c r="AV164">
        <f>_xlfn.XLOOKUP(AB164,'Order Page'!X$24:X$378,'Order Page'!O$24:O$378,0)</f>
        <v>38</v>
      </c>
      <c r="AW164" s="264"/>
    </row>
    <row r="165" spans="1:49" x14ac:dyDescent="0.25">
      <c r="A165">
        <v>9</v>
      </c>
      <c r="B165" t="e">
        <f t="shared" si="156"/>
        <v>#N/A</v>
      </c>
      <c r="D165" t="e">
        <f>IF(F$89-SUM(D$157:D164)-B165&gt;=0,B165,0)</f>
        <v>#N/A</v>
      </c>
      <c r="E165" t="e">
        <f>IF(COUNTIF(E$157:E164,"&lt;0")=0,IF(AND(D$173&gt;0,D165&gt;0,SUM(B$157:B$171)&lt;&gt;SUM(D$157:D$171)),-D165,0),IF(AND(D165=0,B165&gt;0),IF(D$173-SUM(E$157:E164)-B165&gt;=0,B165,0),0))</f>
        <v>#N/A</v>
      </c>
      <c r="F165" t="e">
        <f t="shared" si="157"/>
        <v>#N/A</v>
      </c>
      <c r="G165" t="e">
        <f>IF(F165&gt;0,F165*10+COUNTIF(F$157:F165,F165)+J146,0)</f>
        <v>#N/A</v>
      </c>
      <c r="H165" t="e">
        <f t="shared" si="158"/>
        <v>#N/A</v>
      </c>
      <c r="J165">
        <f t="shared" si="155"/>
        <v>30</v>
      </c>
      <c r="Z165" s="264"/>
      <c r="AA165">
        <v>162</v>
      </c>
      <c r="AB165" cm="1">
        <f t="array" ref="AB165">VLOOKUP(ROW(162:162),S$4:T$153,2)</f>
        <v>0</v>
      </c>
      <c r="AD165" t="str">
        <f t="shared" si="159"/>
        <v/>
      </c>
      <c r="AE165" t="e">
        <f t="shared" si="144"/>
        <v>#N/A</v>
      </c>
      <c r="AF165" t="str">
        <f t="shared" si="160"/>
        <v/>
      </c>
      <c r="AG165" t="str">
        <f>_xlfn.XLOOKUP(AB165,'Order Page'!X$27:X$393,'Order Page'!C$27:C$393,"")</f>
        <v>Acorus Calamus</v>
      </c>
      <c r="AH165">
        <f t="shared" si="161"/>
        <v>0</v>
      </c>
      <c r="AI165">
        <f t="shared" si="162"/>
        <v>0</v>
      </c>
      <c r="AJ165">
        <f t="shared" si="150"/>
        <v>0</v>
      </c>
      <c r="AK165">
        <f t="shared" si="145"/>
        <v>0</v>
      </c>
      <c r="AL165">
        <f>IF(OR(AD164&amp;AF164&lt;&gt;AD165&amp;AF165,AK165&lt;AK164),AK164,0)+MAX(AL$4:AL164)</f>
        <v>0</v>
      </c>
      <c r="AM165">
        <f t="shared" si="146"/>
        <v>0</v>
      </c>
      <c r="AO165" s="25" t="str">
        <f t="shared" si="147"/>
        <v/>
      </c>
      <c r="AP165" s="25" t="str">
        <f t="shared" si="163"/>
        <v/>
      </c>
      <c r="AQ165" t="str">
        <f t="shared" si="148"/>
        <v/>
      </c>
      <c r="AR165" t="str">
        <f t="shared" si="164"/>
        <v/>
      </c>
      <c r="AS165">
        <f t="shared" si="165"/>
        <v>0</v>
      </c>
      <c r="AT165">
        <f t="shared" si="149"/>
        <v>0</v>
      </c>
      <c r="AU165" t="str">
        <f>_xlfn.XLOOKUP(AB165,'Order Page'!X$24:X$378,'Order Page'!B$24:B$378,0)</f>
        <v>x6</v>
      </c>
      <c r="AV165">
        <f>_xlfn.XLOOKUP(AB165,'Order Page'!X$24:X$378,'Order Page'!O$24:O$378,0)</f>
        <v>38</v>
      </c>
      <c r="AW165" s="264"/>
    </row>
    <row r="166" spans="1:49" x14ac:dyDescent="0.25">
      <c r="A166">
        <v>10</v>
      </c>
      <c r="B166" t="e">
        <f t="shared" si="156"/>
        <v>#N/A</v>
      </c>
      <c r="D166" t="e">
        <f>IF(F$89-SUM(D$157:D165)-B166&gt;=0,B166,0)</f>
        <v>#N/A</v>
      </c>
      <c r="E166" t="e">
        <f>IF(COUNTIF(E$157:E165,"&lt;0")=0,IF(AND(D$173&gt;0,D166&gt;0,SUM(B$157:B$171)&lt;&gt;SUM(D$157:D$171)),-D166,0),IF(AND(D166=0,B166&gt;0),IF(D$173-SUM(E$157:E165)-B166&gt;=0,B166,0),0))</f>
        <v>#N/A</v>
      </c>
      <c r="F166" t="e">
        <f t="shared" si="157"/>
        <v>#N/A</v>
      </c>
      <c r="G166" t="e">
        <f>IF(F166&gt;0,F166*10+COUNTIF(F$157:F166,F166)+J147,0)</f>
        <v>#N/A</v>
      </c>
      <c r="H166" t="e">
        <f t="shared" si="158"/>
        <v>#N/A</v>
      </c>
      <c r="J166">
        <f t="shared" si="155"/>
        <v>30</v>
      </c>
      <c r="Z166" s="264"/>
      <c r="AA166">
        <v>163</v>
      </c>
      <c r="AB166" cm="1">
        <f t="array" ref="AB166">VLOOKUP(ROW(163:163),S$4:T$153,2)</f>
        <v>0</v>
      </c>
      <c r="AD166" t="str">
        <f t="shared" si="159"/>
        <v/>
      </c>
      <c r="AE166" t="e">
        <f t="shared" si="144"/>
        <v>#N/A</v>
      </c>
      <c r="AF166" t="str">
        <f t="shared" si="160"/>
        <v/>
      </c>
      <c r="AG166" t="str">
        <f>_xlfn.XLOOKUP(AB166,'Order Page'!X$27:X$393,'Order Page'!C$27:C$393,"")</f>
        <v>Acorus Calamus</v>
      </c>
      <c r="AH166">
        <f t="shared" si="161"/>
        <v>0</v>
      </c>
      <c r="AI166">
        <f t="shared" si="162"/>
        <v>0</v>
      </c>
      <c r="AJ166">
        <f t="shared" si="150"/>
        <v>0</v>
      </c>
      <c r="AK166">
        <f t="shared" si="145"/>
        <v>0</v>
      </c>
      <c r="AL166">
        <f>IF(OR(AD165&amp;AF165&lt;&gt;AD166&amp;AF166,AK166&lt;AK165),AK165,0)+MAX(AL$4:AL165)</f>
        <v>0</v>
      </c>
      <c r="AM166">
        <f t="shared" si="146"/>
        <v>0</v>
      </c>
      <c r="AO166" s="25" t="str">
        <f t="shared" si="147"/>
        <v/>
      </c>
      <c r="AP166" s="25" t="str">
        <f t="shared" si="163"/>
        <v/>
      </c>
      <c r="AQ166" t="str">
        <f t="shared" si="148"/>
        <v/>
      </c>
      <c r="AR166" t="str">
        <f t="shared" si="164"/>
        <v/>
      </c>
      <c r="AS166">
        <f t="shared" si="165"/>
        <v>0</v>
      </c>
      <c r="AT166">
        <f t="shared" si="149"/>
        <v>0</v>
      </c>
      <c r="AU166" t="str">
        <f>_xlfn.XLOOKUP(AB166,'Order Page'!X$24:X$378,'Order Page'!B$24:B$378,0)</f>
        <v>x6</v>
      </c>
      <c r="AV166">
        <f>_xlfn.XLOOKUP(AB166,'Order Page'!X$24:X$378,'Order Page'!O$24:O$378,0)</f>
        <v>38</v>
      </c>
      <c r="AW166" s="264"/>
    </row>
    <row r="167" spans="1:49" x14ac:dyDescent="0.25">
      <c r="A167">
        <v>11</v>
      </c>
      <c r="B167" t="e">
        <f t="shared" si="156"/>
        <v>#N/A</v>
      </c>
      <c r="D167" t="e">
        <f>IF(F$89-SUM(D$157:D166)-B167&gt;=0,B167,0)</f>
        <v>#N/A</v>
      </c>
      <c r="E167" t="e">
        <f>IF(COUNTIF(E$157:E166,"&lt;0")=0,IF(AND(D$173&gt;0,D167&gt;0,SUM(B$157:B$171)&lt;&gt;SUM(D$157:D$171)),-D167,0),IF(AND(D167=0,B167&gt;0),IF(D$173-SUM(E$157:E166)-B167&gt;=0,B167,0),0))</f>
        <v>#N/A</v>
      </c>
      <c r="F167" t="e">
        <f t="shared" si="157"/>
        <v>#N/A</v>
      </c>
      <c r="G167" t="e">
        <f>IF(F167&gt;0,F167*10+COUNTIF(F$157:F167,F167)+J148,0)</f>
        <v>#N/A</v>
      </c>
      <c r="H167" t="e">
        <f t="shared" si="158"/>
        <v>#N/A</v>
      </c>
      <c r="J167">
        <f t="shared" si="155"/>
        <v>30</v>
      </c>
      <c r="Z167" s="264"/>
      <c r="AA167">
        <v>164</v>
      </c>
      <c r="AB167" cm="1">
        <f t="array" ref="AB167">VLOOKUP(ROW(164:164),S$4:T$153,2)</f>
        <v>0</v>
      </c>
      <c r="AD167" t="str">
        <f t="shared" si="159"/>
        <v/>
      </c>
      <c r="AE167" t="e">
        <f t="shared" si="144"/>
        <v>#N/A</v>
      </c>
      <c r="AF167" t="str">
        <f t="shared" si="160"/>
        <v/>
      </c>
      <c r="AG167" t="str">
        <f>_xlfn.XLOOKUP(AB167,'Order Page'!X$27:X$393,'Order Page'!C$27:C$393,"")</f>
        <v>Acorus Calamus</v>
      </c>
      <c r="AH167">
        <f t="shared" si="161"/>
        <v>0</v>
      </c>
      <c r="AI167">
        <f t="shared" si="162"/>
        <v>0</v>
      </c>
      <c r="AJ167">
        <f t="shared" si="150"/>
        <v>0</v>
      </c>
      <c r="AK167">
        <f t="shared" si="145"/>
        <v>0</v>
      </c>
      <c r="AL167">
        <f>IF(OR(AD166&amp;AF166&lt;&gt;AD167&amp;AF167,AK167&lt;AK166),AK166,0)+MAX(AL$4:AL166)</f>
        <v>0</v>
      </c>
      <c r="AM167">
        <f t="shared" si="146"/>
        <v>0</v>
      </c>
      <c r="AO167" s="25" t="str">
        <f t="shared" si="147"/>
        <v/>
      </c>
      <c r="AP167" s="25" t="str">
        <f t="shared" si="163"/>
        <v/>
      </c>
      <c r="AQ167" t="str">
        <f t="shared" si="148"/>
        <v/>
      </c>
      <c r="AR167" t="str">
        <f t="shared" si="164"/>
        <v/>
      </c>
      <c r="AS167">
        <f t="shared" si="165"/>
        <v>0</v>
      </c>
      <c r="AT167">
        <f t="shared" si="149"/>
        <v>0</v>
      </c>
      <c r="AU167" t="str">
        <f>_xlfn.XLOOKUP(AB167,'Order Page'!X$24:X$378,'Order Page'!B$24:B$378,0)</f>
        <v>x6</v>
      </c>
      <c r="AV167">
        <f>_xlfn.XLOOKUP(AB167,'Order Page'!X$24:X$378,'Order Page'!O$24:O$378,0)</f>
        <v>38</v>
      </c>
      <c r="AW167" s="264"/>
    </row>
    <row r="168" spans="1:49" x14ac:dyDescent="0.25">
      <c r="A168">
        <v>12</v>
      </c>
      <c r="B168" t="e">
        <f t="shared" si="156"/>
        <v>#N/A</v>
      </c>
      <c r="D168" t="e">
        <f>IF(F$89-SUM(D$157:D167)-B168&gt;=0,B168,0)</f>
        <v>#N/A</v>
      </c>
      <c r="E168" t="e">
        <f>IF(COUNTIF(E$157:E167,"&lt;0")=0,IF(AND(D$173&gt;0,D168&gt;0,SUM(B$157:B$171)&lt;&gt;SUM(D$157:D$171)),-D168,0),IF(AND(D168=0,B168&gt;0),IF(D$173-SUM(E$157:E167)-B168&gt;=0,B168,0),0))</f>
        <v>#N/A</v>
      </c>
      <c r="F168" t="e">
        <f t="shared" si="157"/>
        <v>#N/A</v>
      </c>
      <c r="G168" t="e">
        <f>IF(F168&gt;0,F168*10+COUNTIF(F$157:F168,F168)+J149,0)</f>
        <v>#N/A</v>
      </c>
      <c r="H168" t="e">
        <f t="shared" si="158"/>
        <v>#N/A</v>
      </c>
      <c r="J168">
        <f t="shared" si="155"/>
        <v>30</v>
      </c>
      <c r="Z168" s="264"/>
      <c r="AA168">
        <v>165</v>
      </c>
      <c r="AB168" cm="1">
        <f t="array" ref="AB168">VLOOKUP(ROW(165:165),S$4:T$153,2)</f>
        <v>0</v>
      </c>
      <c r="AD168" t="str">
        <f t="shared" si="159"/>
        <v/>
      </c>
      <c r="AE168" t="e">
        <f t="shared" si="144"/>
        <v>#N/A</v>
      </c>
      <c r="AF168" t="str">
        <f t="shared" si="160"/>
        <v/>
      </c>
      <c r="AG168" t="str">
        <f>_xlfn.XLOOKUP(AB168,'Order Page'!X$27:X$393,'Order Page'!C$27:C$393,"")</f>
        <v>Acorus Calamus</v>
      </c>
      <c r="AH168">
        <f t="shared" si="161"/>
        <v>0</v>
      </c>
      <c r="AI168">
        <f t="shared" si="162"/>
        <v>0</v>
      </c>
      <c r="AJ168">
        <f t="shared" si="150"/>
        <v>0</v>
      </c>
      <c r="AK168">
        <f t="shared" si="145"/>
        <v>0</v>
      </c>
      <c r="AL168">
        <f>IF(OR(AD167&amp;AF167&lt;&gt;AD168&amp;AF168,AK168&lt;AK167),AK167,0)+MAX(AL$4:AL167)</f>
        <v>0</v>
      </c>
      <c r="AM168">
        <f t="shared" si="146"/>
        <v>0</v>
      </c>
      <c r="AO168" s="25" t="str">
        <f t="shared" si="147"/>
        <v/>
      </c>
      <c r="AP168" s="25" t="str">
        <f t="shared" si="163"/>
        <v/>
      </c>
      <c r="AQ168" t="str">
        <f t="shared" si="148"/>
        <v/>
      </c>
      <c r="AR168" t="str">
        <f t="shared" si="164"/>
        <v/>
      </c>
      <c r="AS168">
        <f t="shared" si="165"/>
        <v>0</v>
      </c>
      <c r="AT168">
        <f t="shared" si="149"/>
        <v>0</v>
      </c>
      <c r="AU168" t="str">
        <f>_xlfn.XLOOKUP(AB168,'Order Page'!X$24:X$378,'Order Page'!B$24:B$378,0)</f>
        <v>x6</v>
      </c>
      <c r="AV168">
        <f>_xlfn.XLOOKUP(AB168,'Order Page'!X$24:X$378,'Order Page'!O$24:O$378,0)</f>
        <v>38</v>
      </c>
      <c r="AW168" s="264"/>
    </row>
    <row r="169" spans="1:49" x14ac:dyDescent="0.25">
      <c r="A169">
        <v>13</v>
      </c>
      <c r="B169" t="e">
        <f t="shared" si="156"/>
        <v>#N/A</v>
      </c>
      <c r="D169" t="e">
        <f>IF(F$89-SUM(D$157:D168)-B169&gt;=0,B169,0)</f>
        <v>#N/A</v>
      </c>
      <c r="E169" t="e">
        <f>IF(COUNTIF(E$157:E168,"&lt;0")=0,IF(AND(D$173&gt;0,D169&gt;0,SUM(B$157:B$171)&lt;&gt;SUM(D$157:D$171)),-D169,0),IF(AND(D169=0,B169&gt;0),IF(D$173-SUM(E$157:E168)-B169&gt;=0,B169,0),0))</f>
        <v>#N/A</v>
      </c>
      <c r="F169" t="e">
        <f t="shared" si="157"/>
        <v>#N/A</v>
      </c>
      <c r="G169" t="e">
        <f>IF(F169&gt;0,F169*10+COUNTIF(F$157:F169,F169)+J150,0)</f>
        <v>#N/A</v>
      </c>
      <c r="H169" t="e">
        <f t="shared" si="158"/>
        <v>#N/A</v>
      </c>
      <c r="J169">
        <f t="shared" si="155"/>
        <v>30</v>
      </c>
      <c r="Z169" s="264"/>
      <c r="AA169">
        <v>166</v>
      </c>
      <c r="AB169" cm="1">
        <f t="array" ref="AB169">VLOOKUP(ROW(166:166),S$4:T$153,2)</f>
        <v>0</v>
      </c>
      <c r="AD169" t="str">
        <f t="shared" si="159"/>
        <v/>
      </c>
      <c r="AE169" t="e">
        <f t="shared" si="144"/>
        <v>#N/A</v>
      </c>
      <c r="AF169" t="str">
        <f t="shared" si="160"/>
        <v/>
      </c>
      <c r="AG169" t="str">
        <f>_xlfn.XLOOKUP(AB169,'Order Page'!X$27:X$393,'Order Page'!C$27:C$393,"")</f>
        <v>Acorus Calamus</v>
      </c>
      <c r="AH169">
        <f t="shared" si="161"/>
        <v>0</v>
      </c>
      <c r="AI169">
        <f t="shared" si="162"/>
        <v>0</v>
      </c>
      <c r="AJ169">
        <f t="shared" si="150"/>
        <v>0</v>
      </c>
      <c r="AK169">
        <f t="shared" si="145"/>
        <v>0</v>
      </c>
      <c r="AL169">
        <f>IF(OR(AD168&amp;AF168&lt;&gt;AD169&amp;AF169,AK169&lt;AK168),AK168,0)+MAX(AL$4:AL168)</f>
        <v>0</v>
      </c>
      <c r="AM169">
        <f t="shared" si="146"/>
        <v>0</v>
      </c>
      <c r="AO169" s="25" t="str">
        <f t="shared" si="147"/>
        <v/>
      </c>
      <c r="AP169" s="25" t="str">
        <f t="shared" si="163"/>
        <v/>
      </c>
      <c r="AQ169" t="str">
        <f t="shared" si="148"/>
        <v/>
      </c>
      <c r="AR169" t="str">
        <f t="shared" si="164"/>
        <v/>
      </c>
      <c r="AS169">
        <f t="shared" si="165"/>
        <v>0</v>
      </c>
      <c r="AT169">
        <f t="shared" si="149"/>
        <v>0</v>
      </c>
      <c r="AU169" t="str">
        <f>_xlfn.XLOOKUP(AB169,'Order Page'!X$24:X$378,'Order Page'!B$24:B$378,0)</f>
        <v>x6</v>
      </c>
      <c r="AV169">
        <f>_xlfn.XLOOKUP(AB169,'Order Page'!X$24:X$378,'Order Page'!O$24:O$378,0)</f>
        <v>38</v>
      </c>
      <c r="AW169" s="264"/>
    </row>
    <row r="170" spans="1:49" x14ac:dyDescent="0.25">
      <c r="A170">
        <v>14</v>
      </c>
      <c r="B170" t="e">
        <f t="shared" si="156"/>
        <v>#N/A</v>
      </c>
      <c r="D170" t="e">
        <f>IF(F$89-SUM(D$157:D169)-B170&gt;=0,B170,0)</f>
        <v>#N/A</v>
      </c>
      <c r="E170" t="e">
        <f>IF(COUNTIF(E$157:E169,"&lt;0")=0,IF(AND(D$173&gt;0,D170&gt;0,SUM(B$157:B$171)&lt;&gt;SUM(D$157:D$171)),-D170,0),IF(AND(D170=0,B170&gt;0),IF(D$173-SUM(E$157:E169)-B170&gt;=0,B170,0),0))</f>
        <v>#N/A</v>
      </c>
      <c r="F170" t="e">
        <f t="shared" si="157"/>
        <v>#N/A</v>
      </c>
      <c r="G170" t="e">
        <f>IF(F170&gt;0,F170*10+COUNTIF(F$157:F170,F170)+J151,0)</f>
        <v>#N/A</v>
      </c>
      <c r="H170" t="e">
        <f t="shared" si="158"/>
        <v>#N/A</v>
      </c>
      <c r="J170">
        <f t="shared" si="155"/>
        <v>30</v>
      </c>
      <c r="Z170" s="264"/>
      <c r="AA170">
        <v>167</v>
      </c>
      <c r="AB170" cm="1">
        <f t="array" ref="AB170">VLOOKUP(ROW(167:167),S$4:T$153,2)</f>
        <v>0</v>
      </c>
      <c r="AD170" t="str">
        <f t="shared" si="159"/>
        <v/>
      </c>
      <c r="AE170" t="e">
        <f t="shared" si="144"/>
        <v>#N/A</v>
      </c>
      <c r="AF170" t="str">
        <f t="shared" si="160"/>
        <v/>
      </c>
      <c r="AG170" t="str">
        <f>_xlfn.XLOOKUP(AB170,'Order Page'!X$27:X$393,'Order Page'!C$27:C$393,"")</f>
        <v>Acorus Calamus</v>
      </c>
      <c r="AH170">
        <f t="shared" si="161"/>
        <v>0</v>
      </c>
      <c r="AI170">
        <f t="shared" si="162"/>
        <v>0</v>
      </c>
      <c r="AJ170">
        <f t="shared" si="150"/>
        <v>0</v>
      </c>
      <c r="AK170">
        <f t="shared" si="145"/>
        <v>0</v>
      </c>
      <c r="AL170">
        <f>IF(OR(AD169&amp;AF169&lt;&gt;AD170&amp;AF170,AK170&lt;AK169),AK169,0)+MAX(AL$4:AL169)</f>
        <v>0</v>
      </c>
      <c r="AM170">
        <f t="shared" si="146"/>
        <v>0</v>
      </c>
      <c r="AO170" s="25" t="str">
        <f t="shared" si="147"/>
        <v/>
      </c>
      <c r="AP170" s="25" t="str">
        <f t="shared" si="163"/>
        <v/>
      </c>
      <c r="AQ170" t="str">
        <f t="shared" si="148"/>
        <v/>
      </c>
      <c r="AR170" t="str">
        <f t="shared" si="164"/>
        <v/>
      </c>
      <c r="AS170">
        <f t="shared" si="165"/>
        <v>0</v>
      </c>
      <c r="AT170">
        <f t="shared" si="149"/>
        <v>0</v>
      </c>
      <c r="AU170" t="str">
        <f>_xlfn.XLOOKUP(AB170,'Order Page'!X$24:X$378,'Order Page'!B$24:B$378,0)</f>
        <v>x6</v>
      </c>
      <c r="AV170">
        <f>_xlfn.XLOOKUP(AB170,'Order Page'!X$24:X$378,'Order Page'!O$24:O$378,0)</f>
        <v>38</v>
      </c>
      <c r="AW170" s="264"/>
    </row>
    <row r="171" spans="1:49" x14ac:dyDescent="0.25">
      <c r="A171">
        <v>15</v>
      </c>
      <c r="B171" t="e">
        <f t="shared" si="156"/>
        <v>#N/A</v>
      </c>
      <c r="D171" t="e">
        <f>IF(F$89-SUM(D$157:D170)-B171&gt;=0,B171,0)</f>
        <v>#N/A</v>
      </c>
      <c r="E171" t="e">
        <f>IF(COUNTIF(E$157:E170,"&lt;0")=0,IF(AND(D$173&gt;0,D171&gt;0,SUM(B$157:B$171)&lt;&gt;SUM(D$157:D$171)),-D171,0),IF(AND(D171=0,B171&gt;0),IF(D$173-SUM(E$157:E170)-B171&gt;=0,B171,0),0))</f>
        <v>#N/A</v>
      </c>
      <c r="F171" t="e">
        <f t="shared" si="157"/>
        <v>#N/A</v>
      </c>
      <c r="G171" t="e">
        <f>IF(F171&gt;0,F171*10+COUNTIF(F$157:F171,F171)+J152,0)</f>
        <v>#N/A</v>
      </c>
      <c r="H171" t="e">
        <f t="shared" si="158"/>
        <v>#N/A</v>
      </c>
      <c r="J171">
        <f t="shared" si="155"/>
        <v>30</v>
      </c>
      <c r="Z171" s="264"/>
      <c r="AA171">
        <v>168</v>
      </c>
      <c r="AB171" cm="1">
        <f t="array" ref="AB171">VLOOKUP(ROW(168:168),S$4:T$153,2)</f>
        <v>0</v>
      </c>
      <c r="AD171" t="str">
        <f t="shared" si="159"/>
        <v/>
      </c>
      <c r="AE171" t="e">
        <f t="shared" si="144"/>
        <v>#N/A</v>
      </c>
      <c r="AF171" t="str">
        <f t="shared" si="160"/>
        <v/>
      </c>
      <c r="AG171" t="str">
        <f>_xlfn.XLOOKUP(AB171,'Order Page'!X$27:X$393,'Order Page'!C$27:C$393,"")</f>
        <v>Acorus Calamus</v>
      </c>
      <c r="AH171">
        <f t="shared" si="161"/>
        <v>0</v>
      </c>
      <c r="AI171">
        <f t="shared" si="162"/>
        <v>0</v>
      </c>
      <c r="AJ171">
        <f t="shared" si="150"/>
        <v>0</v>
      </c>
      <c r="AK171">
        <f t="shared" si="145"/>
        <v>0</v>
      </c>
      <c r="AL171">
        <f>IF(OR(AD170&amp;AF170&lt;&gt;AD171&amp;AF171,AK171&lt;AK170),AK170,0)+MAX(AL$4:AL170)</f>
        <v>0</v>
      </c>
      <c r="AM171">
        <f t="shared" si="146"/>
        <v>0</v>
      </c>
      <c r="AO171" s="25" t="str">
        <f t="shared" si="147"/>
        <v/>
      </c>
      <c r="AP171" s="25" t="str">
        <f t="shared" si="163"/>
        <v/>
      </c>
      <c r="AQ171" t="str">
        <f t="shared" si="148"/>
        <v/>
      </c>
      <c r="AR171" t="str">
        <f t="shared" si="164"/>
        <v/>
      </c>
      <c r="AS171">
        <f t="shared" si="165"/>
        <v>0</v>
      </c>
      <c r="AT171">
        <f t="shared" si="149"/>
        <v>0</v>
      </c>
      <c r="AU171" t="str">
        <f>_xlfn.XLOOKUP(AB171,'Order Page'!X$24:X$378,'Order Page'!B$24:B$378,0)</f>
        <v>x6</v>
      </c>
      <c r="AV171">
        <f>_xlfn.XLOOKUP(AB171,'Order Page'!X$24:X$378,'Order Page'!O$24:O$378,0)</f>
        <v>38</v>
      </c>
      <c r="AW171" s="264"/>
    </row>
    <row r="172" spans="1:49" x14ac:dyDescent="0.25">
      <c r="D172">
        <f>C$98-COUNTIF(D100:D114,"&gt;"&amp;0)-COUNTIF(D138:D152,"&gt;"&amp;0)-COUNTIF(D119:D133,"&gt;"&amp;0)-COUNTIF(D157:D171,"&gt;"&amp;0)</f>
        <v>0</v>
      </c>
      <c r="Z172" s="264"/>
      <c r="AA172">
        <v>169</v>
      </c>
      <c r="AB172" cm="1">
        <f t="array" ref="AB172">VLOOKUP(ROW(169:169),S$4:T$153,2)</f>
        <v>0</v>
      </c>
      <c r="AD172" t="str">
        <f t="shared" si="159"/>
        <v/>
      </c>
      <c r="AE172" t="e">
        <f t="shared" si="144"/>
        <v>#N/A</v>
      </c>
      <c r="AF172" t="str">
        <f t="shared" si="160"/>
        <v/>
      </c>
      <c r="AG172" t="str">
        <f>_xlfn.XLOOKUP(AB172,'Order Page'!X$27:X$393,'Order Page'!C$27:C$393,"")</f>
        <v>Acorus Calamus</v>
      </c>
      <c r="AH172">
        <f t="shared" si="161"/>
        <v>0</v>
      </c>
      <c r="AI172">
        <f t="shared" si="162"/>
        <v>0</v>
      </c>
      <c r="AJ172">
        <f t="shared" si="150"/>
        <v>0</v>
      </c>
      <c r="AK172">
        <f t="shared" si="145"/>
        <v>0</v>
      </c>
      <c r="AL172">
        <f>IF(OR(AD171&amp;AF171&lt;&gt;AD172&amp;AF172,AK172&lt;AK171),AK171,0)+MAX(AL$4:AL171)</f>
        <v>0</v>
      </c>
      <c r="AM172">
        <f t="shared" si="146"/>
        <v>0</v>
      </c>
      <c r="AO172" s="25" t="str">
        <f t="shared" si="147"/>
        <v/>
      </c>
      <c r="AP172" s="25" t="str">
        <f t="shared" si="163"/>
        <v/>
      </c>
      <c r="AQ172" t="str">
        <f t="shared" si="148"/>
        <v/>
      </c>
      <c r="AR172" t="str">
        <f t="shared" si="164"/>
        <v/>
      </c>
      <c r="AS172">
        <f t="shared" si="165"/>
        <v>0</v>
      </c>
      <c r="AT172">
        <f t="shared" si="149"/>
        <v>0</v>
      </c>
      <c r="AU172" t="str">
        <f>_xlfn.XLOOKUP(AB172,'Order Page'!X$24:X$378,'Order Page'!B$24:B$378,0)</f>
        <v>x6</v>
      </c>
      <c r="AV172">
        <f>_xlfn.XLOOKUP(AB172,'Order Page'!X$24:X$378,'Order Page'!O$24:O$378,0)</f>
        <v>38</v>
      </c>
      <c r="AW172" s="264"/>
    </row>
    <row r="173" spans="1:49" x14ac:dyDescent="0.25">
      <c r="A173" t="s">
        <v>701</v>
      </c>
      <c r="D173" t="e">
        <f>F89-SUM(D157:D171)</f>
        <v>#N/A</v>
      </c>
      <c r="E173" t="e">
        <f>D173-SUM(E157:E171)</f>
        <v>#N/A</v>
      </c>
      <c r="Z173" s="264"/>
      <c r="AA173">
        <v>170</v>
      </c>
      <c r="AB173" cm="1">
        <f t="array" ref="AB173">VLOOKUP(ROW(170:170),S$4:T$153,2)</f>
        <v>0</v>
      </c>
      <c r="AD173" t="str">
        <f t="shared" si="159"/>
        <v/>
      </c>
      <c r="AE173" t="e">
        <f t="shared" si="144"/>
        <v>#N/A</v>
      </c>
      <c r="AF173" t="str">
        <f t="shared" si="160"/>
        <v/>
      </c>
      <c r="AG173" t="str">
        <f>_xlfn.XLOOKUP(AB173,'Order Page'!X$27:X$393,'Order Page'!C$27:C$393,"")</f>
        <v>Acorus Calamus</v>
      </c>
      <c r="AH173">
        <f t="shared" si="161"/>
        <v>0</v>
      </c>
      <c r="AI173">
        <f t="shared" si="162"/>
        <v>0</v>
      </c>
      <c r="AJ173">
        <f t="shared" si="150"/>
        <v>0</v>
      </c>
      <c r="AK173">
        <f t="shared" si="145"/>
        <v>0</v>
      </c>
      <c r="AL173">
        <f>IF(OR(AD172&amp;AF172&lt;&gt;AD173&amp;AF173,AK173&lt;AK172),AK172,0)+MAX(AL$4:AL172)</f>
        <v>0</v>
      </c>
      <c r="AM173">
        <f t="shared" si="146"/>
        <v>0</v>
      </c>
      <c r="AO173" s="25" t="str">
        <f t="shared" si="147"/>
        <v/>
      </c>
      <c r="AP173" s="25" t="str">
        <f t="shared" si="163"/>
        <v/>
      </c>
      <c r="AQ173" t="str">
        <f t="shared" si="148"/>
        <v/>
      </c>
      <c r="AR173" t="str">
        <f t="shared" si="164"/>
        <v/>
      </c>
      <c r="AS173">
        <f t="shared" si="165"/>
        <v>0</v>
      </c>
      <c r="AT173">
        <f t="shared" si="149"/>
        <v>0</v>
      </c>
      <c r="AU173" t="str">
        <f>_xlfn.XLOOKUP(AB173,'Order Page'!X$24:X$378,'Order Page'!B$24:B$378,0)</f>
        <v>x6</v>
      </c>
      <c r="AV173">
        <f>_xlfn.XLOOKUP(AB173,'Order Page'!X$24:X$378,'Order Page'!O$24:O$378,0)</f>
        <v>38</v>
      </c>
      <c r="AW173" s="264"/>
    </row>
    <row r="174" spans="1:49" x14ac:dyDescent="0.25">
      <c r="Z174" s="264"/>
      <c r="AA174">
        <v>171</v>
      </c>
      <c r="AB174" cm="1">
        <f t="array" ref="AB174">VLOOKUP(ROW(171:171),S$4:T$153,2)</f>
        <v>0</v>
      </c>
      <c r="AD174" t="str">
        <f t="shared" si="159"/>
        <v/>
      </c>
      <c r="AE174" t="e">
        <f t="shared" si="144"/>
        <v>#N/A</v>
      </c>
      <c r="AF174" t="str">
        <f t="shared" si="160"/>
        <v/>
      </c>
      <c r="AG174" t="str">
        <f>_xlfn.XLOOKUP(AB174,'Order Page'!X$27:X$393,'Order Page'!C$27:C$393,"")</f>
        <v>Acorus Calamus</v>
      </c>
      <c r="AH174">
        <f t="shared" si="161"/>
        <v>0</v>
      </c>
      <c r="AI174">
        <f t="shared" si="162"/>
        <v>0</v>
      </c>
      <c r="AJ174">
        <f t="shared" si="150"/>
        <v>0</v>
      </c>
      <c r="AK174">
        <f t="shared" si="145"/>
        <v>0</v>
      </c>
      <c r="AL174">
        <f>IF(OR(AD173&amp;AF173&lt;&gt;AD174&amp;AF174,AK174&lt;AK173),AK173,0)+MAX(AL$4:AL173)</f>
        <v>0</v>
      </c>
      <c r="AM174">
        <f t="shared" si="146"/>
        <v>0</v>
      </c>
      <c r="AO174" s="25" t="str">
        <f t="shared" si="147"/>
        <v/>
      </c>
      <c r="AP174" s="25" t="str">
        <f t="shared" si="163"/>
        <v/>
      </c>
      <c r="AQ174" t="str">
        <f t="shared" si="148"/>
        <v/>
      </c>
      <c r="AR174" t="str">
        <f t="shared" si="164"/>
        <v/>
      </c>
      <c r="AS174">
        <f t="shared" si="165"/>
        <v>0</v>
      </c>
      <c r="AT174">
        <f t="shared" si="149"/>
        <v>0</v>
      </c>
      <c r="AU174" t="str">
        <f>_xlfn.XLOOKUP(AB174,'Order Page'!X$24:X$378,'Order Page'!B$24:B$378,0)</f>
        <v>x6</v>
      </c>
      <c r="AV174">
        <f>_xlfn.XLOOKUP(AB174,'Order Page'!X$24:X$378,'Order Page'!O$24:O$378,0)</f>
        <v>38</v>
      </c>
      <c r="AW174" s="264"/>
    </row>
    <row r="175" spans="1:49" x14ac:dyDescent="0.25">
      <c r="A175" s="21" t="s">
        <v>705</v>
      </c>
      <c r="E175" t="s">
        <v>699</v>
      </c>
      <c r="F175" t="s">
        <v>702</v>
      </c>
      <c r="G175" t="s">
        <v>700</v>
      </c>
      <c r="H175" t="s">
        <v>611</v>
      </c>
      <c r="Z175" s="264"/>
      <c r="AA175">
        <v>172</v>
      </c>
      <c r="AB175" cm="1">
        <f t="array" ref="AB175">VLOOKUP(ROW(172:172),S$4:T$153,2)</f>
        <v>0</v>
      </c>
      <c r="AD175" t="str">
        <f t="shared" si="159"/>
        <v/>
      </c>
      <c r="AE175" t="e">
        <f t="shared" si="144"/>
        <v>#N/A</v>
      </c>
      <c r="AF175" t="str">
        <f t="shared" si="160"/>
        <v/>
      </c>
      <c r="AG175" t="str">
        <f>_xlfn.XLOOKUP(AB175,'Order Page'!X$27:X$393,'Order Page'!C$27:C$393,"")</f>
        <v>Acorus Calamus</v>
      </c>
      <c r="AH175">
        <f t="shared" si="161"/>
        <v>0</v>
      </c>
      <c r="AI175">
        <f t="shared" si="162"/>
        <v>0</v>
      </c>
      <c r="AJ175">
        <f t="shared" si="150"/>
        <v>0</v>
      </c>
      <c r="AK175">
        <f t="shared" si="145"/>
        <v>0</v>
      </c>
      <c r="AL175">
        <f>IF(OR(AD174&amp;AF174&lt;&gt;AD175&amp;AF175,AK175&lt;AK174),AK174,0)+MAX(AL$4:AL174)</f>
        <v>0</v>
      </c>
      <c r="AM175">
        <f t="shared" si="146"/>
        <v>0</v>
      </c>
      <c r="AO175" s="25" t="str">
        <f t="shared" si="147"/>
        <v/>
      </c>
      <c r="AP175" s="25" t="str">
        <f t="shared" si="163"/>
        <v/>
      </c>
      <c r="AQ175" t="str">
        <f t="shared" si="148"/>
        <v/>
      </c>
      <c r="AR175" t="str">
        <f t="shared" si="164"/>
        <v/>
      </c>
      <c r="AS175">
        <f t="shared" si="165"/>
        <v>0</v>
      </c>
      <c r="AT175">
        <f t="shared" si="149"/>
        <v>0</v>
      </c>
      <c r="AU175" t="str">
        <f>_xlfn.XLOOKUP(AB175,'Order Page'!X$24:X$378,'Order Page'!B$24:B$378,0)</f>
        <v>x6</v>
      </c>
      <c r="AV175">
        <f>_xlfn.XLOOKUP(AB175,'Order Page'!X$24:X$378,'Order Page'!O$24:O$378,0)</f>
        <v>38</v>
      </c>
      <c r="AW175" s="264"/>
    </row>
    <row r="176" spans="1:49" x14ac:dyDescent="0.25">
      <c r="A176">
        <v>1</v>
      </c>
      <c r="B176" t="e">
        <f>IF(AND(H157=0,B157&gt;0),B157,0)</f>
        <v>#N/A</v>
      </c>
      <c r="D176" t="e">
        <f>IF(G$89-B176&gt;=0,B176,0)</f>
        <v>#N/A</v>
      </c>
      <c r="E176" t="e">
        <f>IF(AND(D192&gt;0,D176&gt;0,SUM(B$176:B$190)&lt;&gt;SUM(D$176:D$190)),-D176,0)</f>
        <v>#N/A</v>
      </c>
      <c r="F176" t="e">
        <f>D176+E176</f>
        <v>#N/A</v>
      </c>
      <c r="G176" t="e">
        <f>IF(F176&gt;0,F176*10+COUNTIF(F$176:F176,F176)+J157,0)</f>
        <v>#N/A</v>
      </c>
      <c r="H176" t="e">
        <f>IF(G176&gt;0,_xlfn.XLOOKUP(G176,K$61:K$80,B$61:B$80,0),0)</f>
        <v>#N/A</v>
      </c>
      <c r="Z176" s="264"/>
      <c r="AA176">
        <v>173</v>
      </c>
      <c r="AB176" cm="1">
        <f t="array" ref="AB176">VLOOKUP(ROW(173:173),S$4:T$153,2)</f>
        <v>0</v>
      </c>
      <c r="AD176" t="str">
        <f t="shared" si="159"/>
        <v/>
      </c>
      <c r="AE176" t="e">
        <f t="shared" si="144"/>
        <v>#N/A</v>
      </c>
      <c r="AF176" t="str">
        <f t="shared" si="160"/>
        <v/>
      </c>
      <c r="AG176" t="str">
        <f>_xlfn.XLOOKUP(AB176,'Order Page'!X$27:X$393,'Order Page'!C$27:C$393,"")</f>
        <v>Acorus Calamus</v>
      </c>
      <c r="AH176">
        <f t="shared" si="161"/>
        <v>0</v>
      </c>
      <c r="AI176">
        <f t="shared" si="162"/>
        <v>0</v>
      </c>
      <c r="AJ176">
        <f t="shared" si="150"/>
        <v>0</v>
      </c>
      <c r="AK176">
        <f t="shared" si="145"/>
        <v>0</v>
      </c>
      <c r="AL176">
        <f>IF(OR(AD175&amp;AF175&lt;&gt;AD176&amp;AF176,AK176&lt;AK175),AK175,0)+MAX(AL$4:AL175)</f>
        <v>0</v>
      </c>
      <c r="AM176">
        <f t="shared" si="146"/>
        <v>0</v>
      </c>
      <c r="AO176" s="25" t="str">
        <f t="shared" si="147"/>
        <v/>
      </c>
      <c r="AP176" s="25" t="str">
        <f t="shared" si="163"/>
        <v/>
      </c>
      <c r="AQ176" t="str">
        <f t="shared" si="148"/>
        <v/>
      </c>
      <c r="AR176" t="str">
        <f t="shared" si="164"/>
        <v/>
      </c>
      <c r="AS176">
        <f t="shared" si="165"/>
        <v>0</v>
      </c>
      <c r="AT176">
        <f t="shared" si="149"/>
        <v>0</v>
      </c>
      <c r="AU176" t="str">
        <f>_xlfn.XLOOKUP(AB176,'Order Page'!X$24:X$378,'Order Page'!B$24:B$378,0)</f>
        <v>x6</v>
      </c>
      <c r="AV176">
        <f>_xlfn.XLOOKUP(AB176,'Order Page'!X$24:X$378,'Order Page'!O$24:O$378,0)</f>
        <v>38</v>
      </c>
      <c r="AW176" s="264"/>
    </row>
    <row r="177" spans="1:49" x14ac:dyDescent="0.25">
      <c r="A177">
        <v>2</v>
      </c>
      <c r="B177" t="e">
        <f>IF(AND(H158=0,B158&gt;0),B158,0)</f>
        <v>#N/A</v>
      </c>
      <c r="D177" t="e">
        <f>IF(G$89-SUM(D$176:D176)-B177&gt;=0,B177,0)</f>
        <v>#N/A</v>
      </c>
      <c r="E177" t="e">
        <f>IF(COUNTIF(E$176:E176,"&lt;0")=0,IF(AND(D$192&gt;0,D177&gt;0,SUM(B$176:B$190)&lt;&gt;SUM(D$176:D$190)),-D177,0),IF(AND(D177=0,B177&gt;0),IF(D$192-SUM(E$176:E176)-B177&gt;=0,B177,0),0))</f>
        <v>#N/A</v>
      </c>
      <c r="F177" t="e">
        <f>D177+E177</f>
        <v>#N/A</v>
      </c>
      <c r="G177" t="e">
        <f>IF(F177&gt;0,F177*10+COUNTIF(F$176:F177,F177)+J158,0)</f>
        <v>#N/A</v>
      </c>
      <c r="H177" t="e">
        <f>IF(G177&gt;0,_xlfn.XLOOKUP(G177,K$61:K$80,B$61:B$80,0),0)</f>
        <v>#N/A</v>
      </c>
      <c r="Z177" s="264"/>
      <c r="AA177">
        <v>174</v>
      </c>
      <c r="AB177" cm="1">
        <f t="array" ref="AB177">VLOOKUP(ROW(174:174),S$4:T$153,2)</f>
        <v>0</v>
      </c>
      <c r="AD177" t="str">
        <f t="shared" si="159"/>
        <v/>
      </c>
      <c r="AE177" t="e">
        <f t="shared" si="144"/>
        <v>#N/A</v>
      </c>
      <c r="AF177" t="str">
        <f t="shared" si="160"/>
        <v/>
      </c>
      <c r="AG177" t="str">
        <f>_xlfn.XLOOKUP(AB177,'Order Page'!X$27:X$393,'Order Page'!C$27:C$393,"")</f>
        <v>Acorus Calamus</v>
      </c>
      <c r="AH177">
        <f t="shared" si="161"/>
        <v>0</v>
      </c>
      <c r="AI177">
        <f t="shared" si="162"/>
        <v>0</v>
      </c>
      <c r="AJ177">
        <f t="shared" si="150"/>
        <v>0</v>
      </c>
      <c r="AK177">
        <f t="shared" si="145"/>
        <v>0</v>
      </c>
      <c r="AL177">
        <f>IF(OR(AD176&amp;AF176&lt;&gt;AD177&amp;AF177,AK177&lt;AK176),AK176,0)+MAX(AL$4:AL176)</f>
        <v>0</v>
      </c>
      <c r="AM177">
        <f t="shared" si="146"/>
        <v>0</v>
      </c>
      <c r="AO177" s="25" t="str">
        <f t="shared" si="147"/>
        <v/>
      </c>
      <c r="AP177" s="25" t="str">
        <f t="shared" si="163"/>
        <v/>
      </c>
      <c r="AQ177" t="str">
        <f t="shared" si="148"/>
        <v/>
      </c>
      <c r="AR177" t="str">
        <f t="shared" si="164"/>
        <v/>
      </c>
      <c r="AS177">
        <f t="shared" si="165"/>
        <v>0</v>
      </c>
      <c r="AT177">
        <f t="shared" si="149"/>
        <v>0</v>
      </c>
      <c r="AU177" t="str">
        <f>_xlfn.XLOOKUP(AB177,'Order Page'!X$24:X$378,'Order Page'!B$24:B$378,0)</f>
        <v>x6</v>
      </c>
      <c r="AV177">
        <f>_xlfn.XLOOKUP(AB177,'Order Page'!X$24:X$378,'Order Page'!O$24:O$378,0)</f>
        <v>38</v>
      </c>
      <c r="AW177" s="264"/>
    </row>
    <row r="178" spans="1:49" x14ac:dyDescent="0.25">
      <c r="A178">
        <v>3</v>
      </c>
      <c r="B178" t="e">
        <f t="shared" ref="B178:B190" si="166">IF(AND(H159=0,B159&gt;0),B159,0)</f>
        <v>#N/A</v>
      </c>
      <c r="D178" t="e">
        <f>IF(G$89-SUM(D$176:D177)-B178&gt;=0,B178,0)</f>
        <v>#N/A</v>
      </c>
      <c r="E178" t="e">
        <f>IF(COUNTIF(E$176:E177,"&lt;0")=0,IF(AND(D$192&gt;0,D178&gt;0,SUM(B$176:B$190)&lt;&gt;SUM(D$176:D$190)),-D178,0),IF(AND(D178=0,B178&gt;0),IF(D$192-SUM(E$176:E177)-B178&gt;=0,B178,0),0))</f>
        <v>#N/A</v>
      </c>
      <c r="F178" t="e">
        <f t="shared" ref="F178:F190" si="167">D178+E178</f>
        <v>#N/A</v>
      </c>
      <c r="G178" t="e">
        <f>IF(F178&gt;0,F178*10+COUNTIF(F$176:F178,F178)+J159,0)</f>
        <v>#N/A</v>
      </c>
      <c r="H178" t="e">
        <f>IF(G178&gt;0,_xlfn.XLOOKUP(G178,K$61:K$80,B$61:B$80,0),0)</f>
        <v>#N/A</v>
      </c>
      <c r="Z178" s="264"/>
      <c r="AA178">
        <v>175</v>
      </c>
      <c r="AB178" cm="1">
        <f t="array" ref="AB178">VLOOKUP(ROW(175:175),S$4:T$153,2)</f>
        <v>0</v>
      </c>
      <c r="AD178" t="str">
        <f t="shared" si="159"/>
        <v/>
      </c>
      <c r="AE178" t="e">
        <f t="shared" si="144"/>
        <v>#N/A</v>
      </c>
      <c r="AF178" t="str">
        <f t="shared" si="160"/>
        <v/>
      </c>
      <c r="AG178" t="str">
        <f>_xlfn.XLOOKUP(AB178,'Order Page'!X$27:X$393,'Order Page'!C$27:C$393,"")</f>
        <v>Acorus Calamus</v>
      </c>
      <c r="AH178">
        <f t="shared" si="161"/>
        <v>0</v>
      </c>
      <c r="AI178">
        <f t="shared" si="162"/>
        <v>0</v>
      </c>
      <c r="AJ178">
        <f t="shared" si="150"/>
        <v>0</v>
      </c>
      <c r="AK178">
        <f t="shared" si="145"/>
        <v>0</v>
      </c>
      <c r="AL178">
        <f>IF(OR(AD177&amp;AF177&lt;&gt;AD178&amp;AF178,AK178&lt;AK177),AK177,0)+MAX(AL$4:AL177)</f>
        <v>0</v>
      </c>
      <c r="AM178">
        <f t="shared" si="146"/>
        <v>0</v>
      </c>
      <c r="AO178" s="25" t="str">
        <f t="shared" si="147"/>
        <v/>
      </c>
      <c r="AP178" s="25" t="str">
        <f t="shared" si="163"/>
        <v/>
      </c>
      <c r="AQ178" t="str">
        <f t="shared" si="148"/>
        <v/>
      </c>
      <c r="AR178" t="str">
        <f t="shared" si="164"/>
        <v/>
      </c>
      <c r="AS178">
        <f t="shared" si="165"/>
        <v>0</v>
      </c>
      <c r="AT178">
        <f t="shared" si="149"/>
        <v>0</v>
      </c>
      <c r="AU178" t="str">
        <f>_xlfn.XLOOKUP(AB178,'Order Page'!X$24:X$378,'Order Page'!B$24:B$378,0)</f>
        <v>x6</v>
      </c>
      <c r="AV178">
        <f>_xlfn.XLOOKUP(AB178,'Order Page'!X$24:X$378,'Order Page'!O$24:O$378,0)</f>
        <v>38</v>
      </c>
      <c r="AW178" s="264"/>
    </row>
    <row r="179" spans="1:49" x14ac:dyDescent="0.25">
      <c r="A179">
        <v>4</v>
      </c>
      <c r="B179" t="e">
        <f t="shared" si="166"/>
        <v>#N/A</v>
      </c>
      <c r="D179" t="e">
        <f>IF(G$89-SUM(D$176:D178)-B179&gt;=0,B179,0)</f>
        <v>#N/A</v>
      </c>
      <c r="E179" t="e">
        <f>IF(COUNTIF(E$176:E178,"&lt;0")=0,IF(AND(D$192&gt;0,D179&gt;0,SUM(B$176:B$190)&lt;&gt;SUM(D$176:D$190)),-D179,0),IF(AND(D179=0,B179&gt;0),IF(D$192-SUM(E$176:E178)-B179&gt;=0,B179,0),0))</f>
        <v>#N/A</v>
      </c>
      <c r="F179" t="e">
        <f t="shared" si="167"/>
        <v>#N/A</v>
      </c>
      <c r="G179" t="e">
        <f>IF(F179&gt;0,F179*10+COUNTIF(F$176:F179,F179)+J160,0)</f>
        <v>#N/A</v>
      </c>
      <c r="H179" t="e">
        <f t="shared" ref="H179:H190" si="168">IF(G179&gt;0,_xlfn.XLOOKUP(G179,K$61:K$80,B$61:B$80,0),0)</f>
        <v>#N/A</v>
      </c>
      <c r="Z179" s="264"/>
      <c r="AA179">
        <v>176</v>
      </c>
      <c r="AB179" cm="1">
        <f t="array" ref="AB179">VLOOKUP(ROW(176:176),S$4:T$153,2)</f>
        <v>0</v>
      </c>
      <c r="AD179" t="str">
        <f t="shared" si="159"/>
        <v/>
      </c>
      <c r="AE179" t="e">
        <f t="shared" si="144"/>
        <v>#N/A</v>
      </c>
      <c r="AF179" t="str">
        <f t="shared" si="160"/>
        <v/>
      </c>
      <c r="AG179" t="str">
        <f>_xlfn.XLOOKUP(AB179,'Order Page'!X$27:X$393,'Order Page'!C$27:C$393,"")</f>
        <v>Acorus Calamus</v>
      </c>
      <c r="AH179">
        <f t="shared" si="161"/>
        <v>0</v>
      </c>
      <c r="AI179">
        <f t="shared" si="162"/>
        <v>0</v>
      </c>
      <c r="AJ179">
        <f t="shared" si="150"/>
        <v>0</v>
      </c>
      <c r="AK179">
        <f t="shared" si="145"/>
        <v>0</v>
      </c>
      <c r="AL179">
        <f>IF(OR(AD178&amp;AF178&lt;&gt;AD179&amp;AF179,AK179&lt;AK178),AK178,0)+MAX(AL$4:AL178)</f>
        <v>0</v>
      </c>
      <c r="AM179">
        <f t="shared" si="146"/>
        <v>0</v>
      </c>
      <c r="AO179" s="25" t="str">
        <f t="shared" si="147"/>
        <v/>
      </c>
      <c r="AP179" s="25" t="str">
        <f t="shared" si="163"/>
        <v/>
      </c>
      <c r="AQ179" t="str">
        <f t="shared" si="148"/>
        <v/>
      </c>
      <c r="AR179" t="str">
        <f t="shared" si="164"/>
        <v/>
      </c>
      <c r="AS179">
        <f t="shared" si="165"/>
        <v>0</v>
      </c>
      <c r="AT179">
        <f t="shared" si="149"/>
        <v>0</v>
      </c>
      <c r="AU179" t="str">
        <f>_xlfn.XLOOKUP(AB179,'Order Page'!X$24:X$378,'Order Page'!B$24:B$378,0)</f>
        <v>x6</v>
      </c>
      <c r="AV179">
        <f>_xlfn.XLOOKUP(AB179,'Order Page'!X$24:X$378,'Order Page'!O$24:O$378,0)</f>
        <v>38</v>
      </c>
      <c r="AW179" s="264"/>
    </row>
    <row r="180" spans="1:49" x14ac:dyDescent="0.25">
      <c r="A180">
        <v>5</v>
      </c>
      <c r="B180" t="e">
        <f t="shared" si="166"/>
        <v>#N/A</v>
      </c>
      <c r="D180" t="e">
        <f>IF(G$89-SUM(D$176:D179)-B180&gt;=0,B180,0)</f>
        <v>#N/A</v>
      </c>
      <c r="E180" t="e">
        <f>IF(COUNTIF(E$176:E179,"&lt;0")=0,IF(AND(D$192&gt;0,D180&gt;0,SUM(B$176:B$190)&lt;&gt;SUM(D$176:D$190)),-D180,0),IF(AND(D180=0,B180&gt;0),IF(D$192-SUM(E$176:E179)-B180&gt;=0,B180,0),0))</f>
        <v>#N/A</v>
      </c>
      <c r="F180" t="e">
        <f t="shared" si="167"/>
        <v>#N/A</v>
      </c>
      <c r="G180" t="e">
        <f>IF(F180&gt;0,F180*10+COUNTIF(F$176:F180,F180)+J161,0)</f>
        <v>#N/A</v>
      </c>
      <c r="H180" t="e">
        <f t="shared" si="168"/>
        <v>#N/A</v>
      </c>
      <c r="Z180" s="264"/>
      <c r="AA180">
        <v>177</v>
      </c>
      <c r="AB180" cm="1">
        <f t="array" ref="AB180">VLOOKUP(ROW(177:177),S$4:T$153,2)</f>
        <v>0</v>
      </c>
      <c r="AD180" t="str">
        <f t="shared" si="159"/>
        <v/>
      </c>
      <c r="AE180" t="e">
        <f t="shared" si="144"/>
        <v>#N/A</v>
      </c>
      <c r="AF180" t="str">
        <f t="shared" si="160"/>
        <v/>
      </c>
      <c r="AG180" t="str">
        <f>_xlfn.XLOOKUP(AB180,'Order Page'!X$27:X$393,'Order Page'!C$27:C$393,"")</f>
        <v>Acorus Calamus</v>
      </c>
      <c r="AH180">
        <f t="shared" si="161"/>
        <v>0</v>
      </c>
      <c r="AI180">
        <f t="shared" si="162"/>
        <v>0</v>
      </c>
      <c r="AJ180">
        <f t="shared" si="150"/>
        <v>0</v>
      </c>
      <c r="AK180">
        <f t="shared" si="145"/>
        <v>0</v>
      </c>
      <c r="AL180">
        <f>IF(OR(AD179&amp;AF179&lt;&gt;AD180&amp;AF180,AK180&lt;AK179),AK179,0)+MAX(AL$4:AL179)</f>
        <v>0</v>
      </c>
      <c r="AM180">
        <f t="shared" si="146"/>
        <v>0</v>
      </c>
      <c r="AO180" s="25" t="str">
        <f t="shared" si="147"/>
        <v/>
      </c>
      <c r="AP180" s="25" t="str">
        <f t="shared" si="163"/>
        <v/>
      </c>
      <c r="AQ180" t="str">
        <f t="shared" si="148"/>
        <v/>
      </c>
      <c r="AR180" t="str">
        <f t="shared" si="164"/>
        <v/>
      </c>
      <c r="AS180">
        <f t="shared" si="165"/>
        <v>0</v>
      </c>
      <c r="AT180">
        <f t="shared" si="149"/>
        <v>0</v>
      </c>
      <c r="AU180" t="str">
        <f>_xlfn.XLOOKUP(AB180,'Order Page'!X$24:X$378,'Order Page'!B$24:B$378,0)</f>
        <v>x6</v>
      </c>
      <c r="AV180">
        <f>_xlfn.XLOOKUP(AB180,'Order Page'!X$24:X$378,'Order Page'!O$24:O$378,0)</f>
        <v>38</v>
      </c>
      <c r="AW180" s="264"/>
    </row>
    <row r="181" spans="1:49" x14ac:dyDescent="0.25">
      <c r="A181">
        <v>6</v>
      </c>
      <c r="B181" t="e">
        <f t="shared" si="166"/>
        <v>#N/A</v>
      </c>
      <c r="D181" t="e">
        <f>IF(G$89-SUM(D$176:D180)-B181&gt;=0,B181,0)</f>
        <v>#N/A</v>
      </c>
      <c r="E181" t="e">
        <f>IF(COUNTIF(E$176:E180,"&lt;0")=0,IF(AND(D$192&gt;0,D181&gt;0,SUM(B$176:B$190)&lt;&gt;SUM(D$176:D$190)),-D181,0),IF(AND(D181=0,B181&gt;0),IF(D$192-SUM(E$176:E180)-B181&gt;=0,B181,0),0))</f>
        <v>#N/A</v>
      </c>
      <c r="F181" t="e">
        <f t="shared" si="167"/>
        <v>#N/A</v>
      </c>
      <c r="G181" t="e">
        <f>IF(F181&gt;0,F181*10+COUNTIF(F$176:F181,F181)+J162,0)</f>
        <v>#N/A</v>
      </c>
      <c r="H181" t="e">
        <f t="shared" si="168"/>
        <v>#N/A</v>
      </c>
      <c r="Z181" s="264"/>
      <c r="AA181">
        <v>178</v>
      </c>
      <c r="AB181" cm="1">
        <f t="array" ref="AB181">VLOOKUP(ROW(178:178),S$4:T$153,2)</f>
        <v>0</v>
      </c>
      <c r="AD181" t="str">
        <f t="shared" si="159"/>
        <v/>
      </c>
      <c r="AE181" t="e">
        <f t="shared" si="144"/>
        <v>#N/A</v>
      </c>
      <c r="AF181" t="str">
        <f t="shared" si="160"/>
        <v/>
      </c>
      <c r="AG181" t="str">
        <f>_xlfn.XLOOKUP(AB181,'Order Page'!X$27:X$393,'Order Page'!C$27:C$393,"")</f>
        <v>Acorus Calamus</v>
      </c>
      <c r="AH181">
        <f t="shared" si="161"/>
        <v>0</v>
      </c>
      <c r="AI181">
        <f t="shared" si="162"/>
        <v>0</v>
      </c>
      <c r="AJ181">
        <f t="shared" si="150"/>
        <v>0</v>
      </c>
      <c r="AK181">
        <f t="shared" si="145"/>
        <v>0</v>
      </c>
      <c r="AL181">
        <f>IF(OR(AD180&amp;AF180&lt;&gt;AD181&amp;AF181,AK181&lt;AK180),AK180,0)+MAX(AL$4:AL180)</f>
        <v>0</v>
      </c>
      <c r="AM181">
        <f t="shared" si="146"/>
        <v>0</v>
      </c>
      <c r="AO181" s="25" t="str">
        <f t="shared" si="147"/>
        <v/>
      </c>
      <c r="AP181" s="25" t="str">
        <f t="shared" si="163"/>
        <v/>
      </c>
      <c r="AQ181" t="str">
        <f t="shared" si="148"/>
        <v/>
      </c>
      <c r="AR181" t="str">
        <f t="shared" si="164"/>
        <v/>
      </c>
      <c r="AS181">
        <f t="shared" si="165"/>
        <v>0</v>
      </c>
      <c r="AT181">
        <f t="shared" si="149"/>
        <v>0</v>
      </c>
      <c r="AU181" t="str">
        <f>_xlfn.XLOOKUP(AB181,'Order Page'!X$24:X$378,'Order Page'!B$24:B$378,0)</f>
        <v>x6</v>
      </c>
      <c r="AV181">
        <f>_xlfn.XLOOKUP(AB181,'Order Page'!X$24:X$378,'Order Page'!O$24:O$378,0)</f>
        <v>38</v>
      </c>
      <c r="AW181" s="264"/>
    </row>
    <row r="182" spans="1:49" x14ac:dyDescent="0.25">
      <c r="A182">
        <v>7</v>
      </c>
      <c r="B182" t="e">
        <f t="shared" si="166"/>
        <v>#N/A</v>
      </c>
      <c r="D182" t="e">
        <f>IF(G$89-SUM(D$176:D181)-B182&gt;=0,B182,0)</f>
        <v>#N/A</v>
      </c>
      <c r="E182" t="e">
        <f>IF(COUNTIF(E$176:E181,"&lt;0")=0,IF(AND(D$192&gt;0,D182&gt;0,SUM(B$176:B$190)&lt;&gt;SUM(D$176:D$190)),-D182,0),IF(AND(D182=0,B182&gt;0),IF(D$192-SUM(E$176:E181)-B182&gt;=0,B182,0),0))</f>
        <v>#N/A</v>
      </c>
      <c r="F182" t="e">
        <f t="shared" si="167"/>
        <v>#N/A</v>
      </c>
      <c r="G182" t="e">
        <f>IF(F182&gt;0,F182*10+COUNTIF(F$176:F182,F182)+J163,0)</f>
        <v>#N/A</v>
      </c>
      <c r="H182" t="e">
        <f t="shared" si="168"/>
        <v>#N/A</v>
      </c>
      <c r="Z182" s="264"/>
      <c r="AA182">
        <v>179</v>
      </c>
      <c r="AB182" cm="1">
        <f t="array" ref="AB182">VLOOKUP(ROW(179:179),S$4:T$153,2)</f>
        <v>0</v>
      </c>
      <c r="AD182" t="str">
        <f t="shared" si="159"/>
        <v/>
      </c>
      <c r="AE182" t="e">
        <f t="shared" si="144"/>
        <v>#N/A</v>
      </c>
      <c r="AF182" t="str">
        <f t="shared" si="160"/>
        <v/>
      </c>
      <c r="AG182" t="str">
        <f>_xlfn.XLOOKUP(AB182,'Order Page'!X$27:X$393,'Order Page'!C$27:C$393,"")</f>
        <v>Acorus Calamus</v>
      </c>
      <c r="AH182">
        <f t="shared" si="161"/>
        <v>0</v>
      </c>
      <c r="AI182">
        <f t="shared" si="162"/>
        <v>0</v>
      </c>
      <c r="AJ182">
        <f t="shared" si="150"/>
        <v>0</v>
      </c>
      <c r="AK182">
        <f t="shared" si="145"/>
        <v>0</v>
      </c>
      <c r="AL182">
        <f>IF(OR(AD181&amp;AF181&lt;&gt;AD182&amp;AF182,AK182&lt;AK181),AK181,0)+MAX(AL$4:AL181)</f>
        <v>0</v>
      </c>
      <c r="AM182">
        <f t="shared" si="146"/>
        <v>0</v>
      </c>
      <c r="AO182" s="25" t="str">
        <f t="shared" si="147"/>
        <v/>
      </c>
      <c r="AP182" s="25" t="str">
        <f t="shared" si="163"/>
        <v/>
      </c>
      <c r="AQ182" t="str">
        <f t="shared" si="148"/>
        <v/>
      </c>
      <c r="AR182" t="str">
        <f t="shared" si="164"/>
        <v/>
      </c>
      <c r="AS182">
        <f t="shared" si="165"/>
        <v>0</v>
      </c>
      <c r="AT182">
        <f t="shared" si="149"/>
        <v>0</v>
      </c>
      <c r="AU182" t="str">
        <f>_xlfn.XLOOKUP(AB182,'Order Page'!X$24:X$378,'Order Page'!B$24:B$378,0)</f>
        <v>x6</v>
      </c>
      <c r="AV182">
        <f>_xlfn.XLOOKUP(AB182,'Order Page'!X$24:X$378,'Order Page'!O$24:O$378,0)</f>
        <v>38</v>
      </c>
      <c r="AW182" s="264"/>
    </row>
    <row r="183" spans="1:49" x14ac:dyDescent="0.25">
      <c r="A183">
        <v>8</v>
      </c>
      <c r="B183" t="e">
        <f t="shared" si="166"/>
        <v>#N/A</v>
      </c>
      <c r="D183" t="e">
        <f>IF(G$89-SUM(D$176:D182)-B183&gt;=0,B183,0)</f>
        <v>#N/A</v>
      </c>
      <c r="E183" t="e">
        <f>IF(COUNTIF(E$176:E182,"&lt;0")=0,IF(AND(D$192&gt;0,D183&gt;0,SUM(B$176:B$190)&lt;&gt;SUM(D$176:D$190)),-D183,0),IF(AND(D183=0,B183&gt;0),IF(D$192-SUM(E$176:E182)-B183&gt;=0,B183,0),0))</f>
        <v>#N/A</v>
      </c>
      <c r="F183" t="e">
        <f t="shared" si="167"/>
        <v>#N/A</v>
      </c>
      <c r="G183" t="e">
        <f>IF(F183&gt;0,F183*10+COUNTIF(F$176:F183,F183)+J164,0)</f>
        <v>#N/A</v>
      </c>
      <c r="H183" t="e">
        <f t="shared" si="168"/>
        <v>#N/A</v>
      </c>
      <c r="Z183" s="264"/>
      <c r="AA183">
        <v>180</v>
      </c>
      <c r="AB183" cm="1">
        <f t="array" ref="AB183">VLOOKUP(ROW(180:180),S$4:T$153,2)</f>
        <v>0</v>
      </c>
      <c r="AD183" t="str">
        <f t="shared" si="159"/>
        <v/>
      </c>
      <c r="AE183" t="e">
        <f t="shared" si="144"/>
        <v>#N/A</v>
      </c>
      <c r="AF183" t="str">
        <f t="shared" si="160"/>
        <v/>
      </c>
      <c r="AG183" t="str">
        <f>_xlfn.XLOOKUP(AB183,'Order Page'!X$27:X$393,'Order Page'!C$27:C$393,"")</f>
        <v>Acorus Calamus</v>
      </c>
      <c r="AH183">
        <f t="shared" si="161"/>
        <v>0</v>
      </c>
      <c r="AI183">
        <f t="shared" si="162"/>
        <v>0</v>
      </c>
      <c r="AJ183">
        <f t="shared" si="150"/>
        <v>0</v>
      </c>
      <c r="AK183">
        <f t="shared" si="145"/>
        <v>0</v>
      </c>
      <c r="AL183">
        <f>IF(OR(AD182&amp;AF182&lt;&gt;AD183&amp;AF183,AK183&lt;AK182),AK182,0)+MAX(AL$4:AL182)</f>
        <v>0</v>
      </c>
      <c r="AM183">
        <f t="shared" si="146"/>
        <v>0</v>
      </c>
      <c r="AO183" s="25" t="str">
        <f t="shared" si="147"/>
        <v/>
      </c>
      <c r="AP183" s="25" t="str">
        <f t="shared" si="163"/>
        <v/>
      </c>
      <c r="AQ183" t="str">
        <f t="shared" si="148"/>
        <v/>
      </c>
      <c r="AR183" t="str">
        <f t="shared" si="164"/>
        <v/>
      </c>
      <c r="AS183">
        <f t="shared" si="165"/>
        <v>0</v>
      </c>
      <c r="AT183">
        <f t="shared" si="149"/>
        <v>0</v>
      </c>
      <c r="AU183" t="str">
        <f>_xlfn.XLOOKUP(AB183,'Order Page'!X$24:X$378,'Order Page'!B$24:B$378,0)</f>
        <v>x6</v>
      </c>
      <c r="AV183">
        <f>_xlfn.XLOOKUP(AB183,'Order Page'!X$24:X$378,'Order Page'!O$24:O$378,0)</f>
        <v>38</v>
      </c>
      <c r="AW183" s="264"/>
    </row>
    <row r="184" spans="1:49" x14ac:dyDescent="0.25">
      <c r="A184">
        <v>9</v>
      </c>
      <c r="B184" t="e">
        <f t="shared" si="166"/>
        <v>#N/A</v>
      </c>
      <c r="D184" t="e">
        <f>IF(G$89-SUM(D$176:D183)-B184&gt;=0,B184,0)</f>
        <v>#N/A</v>
      </c>
      <c r="E184" t="e">
        <f>IF(COUNTIF(E$176:E183,"&lt;0")=0,IF(AND(D$192&gt;0,D184&gt;0,SUM(B$176:B$190)&lt;&gt;SUM(D$176:D$190)),-D184,0),IF(AND(D184=0,B184&gt;0),IF(D$192-SUM(E$176:E183)-B184&gt;=0,B184,0),0))</f>
        <v>#N/A</v>
      </c>
      <c r="F184" t="e">
        <f t="shared" si="167"/>
        <v>#N/A</v>
      </c>
      <c r="G184" t="e">
        <f>IF(F184&gt;0,F184*10+COUNTIF(F$176:F184,F184)+J165,0)</f>
        <v>#N/A</v>
      </c>
      <c r="H184" t="e">
        <f t="shared" si="168"/>
        <v>#N/A</v>
      </c>
      <c r="Z184" s="264"/>
      <c r="AA184">
        <v>181</v>
      </c>
      <c r="AB184" cm="1">
        <f t="array" ref="AB184">VLOOKUP(ROW(181:181),S$4:T$153,2)</f>
        <v>0</v>
      </c>
      <c r="AD184" t="str">
        <f t="shared" si="159"/>
        <v/>
      </c>
      <c r="AE184" t="e">
        <f t="shared" si="144"/>
        <v>#N/A</v>
      </c>
      <c r="AF184" t="str">
        <f t="shared" si="160"/>
        <v/>
      </c>
      <c r="AG184" t="str">
        <f>_xlfn.XLOOKUP(AB184,'Order Page'!X$27:X$393,'Order Page'!C$27:C$393,"")</f>
        <v>Acorus Calamus</v>
      </c>
      <c r="AH184">
        <f t="shared" si="161"/>
        <v>0</v>
      </c>
      <c r="AI184">
        <f t="shared" si="162"/>
        <v>0</v>
      </c>
      <c r="AJ184">
        <f t="shared" si="150"/>
        <v>0</v>
      </c>
      <c r="AK184">
        <f t="shared" si="145"/>
        <v>0</v>
      </c>
      <c r="AL184">
        <f>IF(OR(AD183&amp;AF183&lt;&gt;AD184&amp;AF184,AK184&lt;AK183),AK183,0)+MAX(AL$4:AL183)</f>
        <v>0</v>
      </c>
      <c r="AM184">
        <f t="shared" si="146"/>
        <v>0</v>
      </c>
      <c r="AO184" s="25" t="str">
        <f t="shared" si="147"/>
        <v/>
      </c>
      <c r="AP184" s="25" t="str">
        <f t="shared" si="163"/>
        <v/>
      </c>
      <c r="AQ184" t="str">
        <f t="shared" si="148"/>
        <v/>
      </c>
      <c r="AR184" t="str">
        <f t="shared" si="164"/>
        <v/>
      </c>
      <c r="AS184">
        <f t="shared" si="165"/>
        <v>0</v>
      </c>
      <c r="AT184">
        <f t="shared" si="149"/>
        <v>0</v>
      </c>
      <c r="AU184" t="str">
        <f>_xlfn.XLOOKUP(AB184,'Order Page'!X$24:X$378,'Order Page'!B$24:B$378,0)</f>
        <v>x6</v>
      </c>
      <c r="AV184">
        <f>_xlfn.XLOOKUP(AB184,'Order Page'!X$24:X$378,'Order Page'!O$24:O$378,0)</f>
        <v>38</v>
      </c>
      <c r="AW184" s="264"/>
    </row>
    <row r="185" spans="1:49" x14ac:dyDescent="0.25">
      <c r="A185">
        <v>10</v>
      </c>
      <c r="B185" t="e">
        <f t="shared" si="166"/>
        <v>#N/A</v>
      </c>
      <c r="D185" t="e">
        <f>IF(G$89-SUM(D$176:D184)-B185&gt;=0,B185,0)</f>
        <v>#N/A</v>
      </c>
      <c r="E185" t="e">
        <f>IF(COUNTIF(E$176:E184,"&lt;0")=0,IF(AND(D$192&gt;0,D185&gt;0,SUM(B$176:B$190)&lt;&gt;SUM(D$176:D$190)),-D185,0),IF(AND(D185=0,B185&gt;0),IF(D$192-SUM(E$176:E184)-B185&gt;=0,B185,0),0))</f>
        <v>#N/A</v>
      </c>
      <c r="F185" t="e">
        <f t="shared" si="167"/>
        <v>#N/A</v>
      </c>
      <c r="G185" t="e">
        <f>IF(F185&gt;0,F185*10+COUNTIF(F$176:F185,F185)+J166,0)</f>
        <v>#N/A</v>
      </c>
      <c r="H185" t="e">
        <f t="shared" si="168"/>
        <v>#N/A</v>
      </c>
      <c r="Z185" s="264"/>
      <c r="AA185">
        <v>182</v>
      </c>
      <c r="AB185" cm="1">
        <f t="array" ref="AB185">VLOOKUP(ROW(182:182),S$4:T$153,2)</f>
        <v>0</v>
      </c>
      <c r="AD185" t="str">
        <f t="shared" si="159"/>
        <v/>
      </c>
      <c r="AE185" t="e">
        <f t="shared" si="144"/>
        <v>#N/A</v>
      </c>
      <c r="AF185" t="str">
        <f t="shared" si="160"/>
        <v/>
      </c>
      <c r="AG185" t="str">
        <f>_xlfn.XLOOKUP(AB185,'Order Page'!X$27:X$393,'Order Page'!C$27:C$393,"")</f>
        <v>Acorus Calamus</v>
      </c>
      <c r="AH185">
        <f t="shared" si="161"/>
        <v>0</v>
      </c>
      <c r="AI185">
        <f t="shared" si="162"/>
        <v>0</v>
      </c>
      <c r="AJ185">
        <f t="shared" si="150"/>
        <v>0</v>
      </c>
      <c r="AK185">
        <f t="shared" si="145"/>
        <v>0</v>
      </c>
      <c r="AL185">
        <f>IF(OR(AD184&amp;AF184&lt;&gt;AD185&amp;AF185,AK185&lt;AK184),AK184,0)+MAX(AL$4:AL184)</f>
        <v>0</v>
      </c>
      <c r="AM185">
        <f t="shared" si="146"/>
        <v>0</v>
      </c>
      <c r="AO185" s="25" t="str">
        <f t="shared" si="147"/>
        <v/>
      </c>
      <c r="AP185" s="25" t="str">
        <f t="shared" si="163"/>
        <v/>
      </c>
      <c r="AQ185" t="str">
        <f t="shared" si="148"/>
        <v/>
      </c>
      <c r="AR185" t="str">
        <f t="shared" si="164"/>
        <v/>
      </c>
      <c r="AS185">
        <f t="shared" si="165"/>
        <v>0</v>
      </c>
      <c r="AT185">
        <f t="shared" si="149"/>
        <v>0</v>
      </c>
      <c r="AU185" t="str">
        <f>_xlfn.XLOOKUP(AB185,'Order Page'!X$24:X$378,'Order Page'!B$24:B$378,0)</f>
        <v>x6</v>
      </c>
      <c r="AV185">
        <f>_xlfn.XLOOKUP(AB185,'Order Page'!X$24:X$378,'Order Page'!O$24:O$378,0)</f>
        <v>38</v>
      </c>
      <c r="AW185" s="264"/>
    </row>
    <row r="186" spans="1:49" x14ac:dyDescent="0.25">
      <c r="A186">
        <v>11</v>
      </c>
      <c r="B186" t="e">
        <f t="shared" si="166"/>
        <v>#N/A</v>
      </c>
      <c r="D186" t="e">
        <f>IF(G$89-SUM(D$176:D185)-B186&gt;=0,B186,0)</f>
        <v>#N/A</v>
      </c>
      <c r="E186" t="e">
        <f>IF(COUNTIF(E$176:E185,"&lt;0")=0,IF(AND(D$192&gt;0,D186&gt;0,SUM(B$176:B$190)&lt;&gt;SUM(D$176:D$190)),-D186,0),IF(AND(D186=0,B186&gt;0),IF(D$192-SUM(E$176:E185)-B186&gt;=0,B186,0),0))</f>
        <v>#N/A</v>
      </c>
      <c r="F186" t="e">
        <f t="shared" si="167"/>
        <v>#N/A</v>
      </c>
      <c r="G186" t="e">
        <f>IF(F186&gt;0,F186*10+COUNTIF(F$176:F186,F186)+J167,0)</f>
        <v>#N/A</v>
      </c>
      <c r="H186" t="e">
        <f t="shared" si="168"/>
        <v>#N/A</v>
      </c>
      <c r="Z186" s="264"/>
      <c r="AA186">
        <v>183</v>
      </c>
      <c r="AB186" cm="1">
        <f t="array" ref="AB186">VLOOKUP(ROW(183:183),S$4:T$153,2)</f>
        <v>0</v>
      </c>
      <c r="AD186" t="str">
        <f t="shared" si="159"/>
        <v/>
      </c>
      <c r="AE186" t="e">
        <f t="shared" si="144"/>
        <v>#N/A</v>
      </c>
      <c r="AF186" t="str">
        <f t="shared" si="160"/>
        <v/>
      </c>
      <c r="AG186" t="str">
        <f>_xlfn.XLOOKUP(AB186,'Order Page'!X$27:X$393,'Order Page'!C$27:C$393,"")</f>
        <v>Acorus Calamus</v>
      </c>
      <c r="AH186">
        <f t="shared" si="161"/>
        <v>0</v>
      </c>
      <c r="AI186">
        <f t="shared" si="162"/>
        <v>0</v>
      </c>
      <c r="AJ186">
        <f t="shared" si="150"/>
        <v>0</v>
      </c>
      <c r="AK186">
        <f t="shared" si="145"/>
        <v>0</v>
      </c>
      <c r="AL186">
        <f>IF(OR(AD185&amp;AF185&lt;&gt;AD186&amp;AF186,AK186&lt;AK185),AK185,0)+MAX(AL$4:AL185)</f>
        <v>0</v>
      </c>
      <c r="AM186">
        <f t="shared" si="146"/>
        <v>0</v>
      </c>
      <c r="AO186" s="25" t="str">
        <f t="shared" si="147"/>
        <v/>
      </c>
      <c r="AP186" s="25" t="str">
        <f t="shared" si="163"/>
        <v/>
      </c>
      <c r="AQ186" t="str">
        <f t="shared" si="148"/>
        <v/>
      </c>
      <c r="AR186" t="str">
        <f t="shared" si="164"/>
        <v/>
      </c>
      <c r="AS186">
        <f t="shared" si="165"/>
        <v>0</v>
      </c>
      <c r="AT186">
        <f t="shared" si="149"/>
        <v>0</v>
      </c>
      <c r="AU186" t="str">
        <f>_xlfn.XLOOKUP(AB186,'Order Page'!X$24:X$378,'Order Page'!B$24:B$378,0)</f>
        <v>x6</v>
      </c>
      <c r="AV186">
        <f>_xlfn.XLOOKUP(AB186,'Order Page'!X$24:X$378,'Order Page'!O$24:O$378,0)</f>
        <v>38</v>
      </c>
      <c r="AW186" s="264"/>
    </row>
    <row r="187" spans="1:49" x14ac:dyDescent="0.25">
      <c r="A187">
        <v>12</v>
      </c>
      <c r="B187" t="e">
        <f t="shared" si="166"/>
        <v>#N/A</v>
      </c>
      <c r="D187" t="e">
        <f>IF(G$89-SUM(D$176:D186)-B187&gt;=0,B187,0)</f>
        <v>#N/A</v>
      </c>
      <c r="E187" t="e">
        <f>IF(COUNTIF(E$176:E186,"&lt;0")=0,IF(AND(D$192&gt;0,D187&gt;0,SUM(B$176:B$190)&lt;&gt;SUM(D$176:D$190)),-D187,0),IF(AND(D187=0,B187&gt;0),IF(D$192-SUM(E$176:E186)-B187&gt;=0,B187,0),0))</f>
        <v>#N/A</v>
      </c>
      <c r="F187" t="e">
        <f t="shared" si="167"/>
        <v>#N/A</v>
      </c>
      <c r="G187" t="e">
        <f>IF(F187&gt;0,F187*10+COUNTIF(F$176:F187,F187)+J168,0)</f>
        <v>#N/A</v>
      </c>
      <c r="H187" t="e">
        <f t="shared" si="168"/>
        <v>#N/A</v>
      </c>
      <c r="Z187" s="264"/>
      <c r="AA187">
        <v>184</v>
      </c>
      <c r="AB187" cm="1">
        <f t="array" ref="AB187">VLOOKUP(ROW(184:184),S$4:T$153,2)</f>
        <v>0</v>
      </c>
      <c r="AD187" t="str">
        <f t="shared" si="159"/>
        <v/>
      </c>
      <c r="AE187" t="e">
        <f t="shared" si="144"/>
        <v>#N/A</v>
      </c>
      <c r="AF187" t="str">
        <f t="shared" si="160"/>
        <v/>
      </c>
      <c r="AG187" t="str">
        <f>_xlfn.XLOOKUP(AB187,'Order Page'!X$27:X$393,'Order Page'!C$27:C$393,"")</f>
        <v>Acorus Calamus</v>
      </c>
      <c r="AH187">
        <f t="shared" si="161"/>
        <v>0</v>
      </c>
      <c r="AI187">
        <f t="shared" si="162"/>
        <v>0</v>
      </c>
      <c r="AJ187">
        <f t="shared" si="150"/>
        <v>0</v>
      </c>
      <c r="AK187">
        <f t="shared" si="145"/>
        <v>0</v>
      </c>
      <c r="AL187">
        <f>IF(OR(AD186&amp;AF186&lt;&gt;AD187&amp;AF187,AK187&lt;AK186),AK186,0)+MAX(AL$4:AL186)</f>
        <v>0</v>
      </c>
      <c r="AM187">
        <f t="shared" si="146"/>
        <v>0</v>
      </c>
      <c r="AO187" s="25" t="str">
        <f t="shared" si="147"/>
        <v/>
      </c>
      <c r="AP187" s="25" t="str">
        <f t="shared" si="163"/>
        <v/>
      </c>
      <c r="AQ187" t="str">
        <f t="shared" si="148"/>
        <v/>
      </c>
      <c r="AR187" t="str">
        <f t="shared" si="164"/>
        <v/>
      </c>
      <c r="AS187">
        <f t="shared" si="165"/>
        <v>0</v>
      </c>
      <c r="AT187">
        <f t="shared" si="149"/>
        <v>0</v>
      </c>
      <c r="AU187" t="str">
        <f>_xlfn.XLOOKUP(AB187,'Order Page'!X$24:X$378,'Order Page'!B$24:B$378,0)</f>
        <v>x6</v>
      </c>
      <c r="AV187">
        <f>_xlfn.XLOOKUP(AB187,'Order Page'!X$24:X$378,'Order Page'!O$24:O$378,0)</f>
        <v>38</v>
      </c>
      <c r="AW187" s="264"/>
    </row>
    <row r="188" spans="1:49" x14ac:dyDescent="0.25">
      <c r="A188">
        <v>13</v>
      </c>
      <c r="B188" t="e">
        <f t="shared" si="166"/>
        <v>#N/A</v>
      </c>
      <c r="D188" t="e">
        <f>IF(G$89-SUM(D$176:D187)-B188&gt;=0,B188,0)</f>
        <v>#N/A</v>
      </c>
      <c r="E188" t="e">
        <f>IF(COUNTIF(E$176:E187,"&lt;0")=0,IF(AND(D$192&gt;0,D188&gt;0,SUM(B$176:B$190)&lt;&gt;SUM(D$176:D$190)),-D188,0),IF(AND(D188=0,B188&gt;0),IF(D$192-SUM(E$176:E187)-B188&gt;=0,B188,0),0))</f>
        <v>#N/A</v>
      </c>
      <c r="F188" t="e">
        <f t="shared" si="167"/>
        <v>#N/A</v>
      </c>
      <c r="G188" t="e">
        <f>IF(F188&gt;0,F188*10+COUNTIF(F$176:F188,F188)+J169,0)</f>
        <v>#N/A</v>
      </c>
      <c r="H188" t="e">
        <f t="shared" si="168"/>
        <v>#N/A</v>
      </c>
      <c r="Z188" s="264"/>
      <c r="AA188">
        <v>185</v>
      </c>
      <c r="AB188" cm="1">
        <f t="array" ref="AB188">VLOOKUP(ROW(185:185),S$4:T$153,2)</f>
        <v>0</v>
      </c>
      <c r="AD188" t="str">
        <f t="shared" si="159"/>
        <v/>
      </c>
      <c r="AE188" t="e">
        <f t="shared" si="144"/>
        <v>#N/A</v>
      </c>
      <c r="AF188" t="str">
        <f t="shared" si="160"/>
        <v/>
      </c>
      <c r="AG188" t="str">
        <f>_xlfn.XLOOKUP(AB188,'Order Page'!X$27:X$393,'Order Page'!C$27:C$393,"")</f>
        <v>Acorus Calamus</v>
      </c>
      <c r="AH188">
        <f t="shared" si="161"/>
        <v>0</v>
      </c>
      <c r="AI188">
        <f t="shared" si="162"/>
        <v>0</v>
      </c>
      <c r="AJ188">
        <f t="shared" si="150"/>
        <v>0</v>
      </c>
      <c r="AK188">
        <f t="shared" si="145"/>
        <v>0</v>
      </c>
      <c r="AL188">
        <f>IF(OR(AD187&amp;AF187&lt;&gt;AD188&amp;AF188,AK188&lt;AK187),AK187,0)+MAX(AL$4:AL187)</f>
        <v>0</v>
      </c>
      <c r="AM188">
        <f t="shared" si="146"/>
        <v>0</v>
      </c>
      <c r="AO188" s="25" t="str">
        <f t="shared" si="147"/>
        <v/>
      </c>
      <c r="AP188" s="25" t="str">
        <f t="shared" si="163"/>
        <v/>
      </c>
      <c r="AQ188" t="str">
        <f t="shared" si="148"/>
        <v/>
      </c>
      <c r="AR188" t="str">
        <f t="shared" si="164"/>
        <v/>
      </c>
      <c r="AS188">
        <f t="shared" si="165"/>
        <v>0</v>
      </c>
      <c r="AT188">
        <f t="shared" si="149"/>
        <v>0</v>
      </c>
      <c r="AU188" t="str">
        <f>_xlfn.XLOOKUP(AB188,'Order Page'!X$24:X$378,'Order Page'!B$24:B$378,0)</f>
        <v>x6</v>
      </c>
      <c r="AV188">
        <f>_xlfn.XLOOKUP(AB188,'Order Page'!X$24:X$378,'Order Page'!O$24:O$378,0)</f>
        <v>38</v>
      </c>
      <c r="AW188" s="264"/>
    </row>
    <row r="189" spans="1:49" x14ac:dyDescent="0.25">
      <c r="A189">
        <v>14</v>
      </c>
      <c r="B189" t="e">
        <f t="shared" si="166"/>
        <v>#N/A</v>
      </c>
      <c r="D189" t="e">
        <f>IF(G$89-SUM(D$176:D188)-B189&gt;=0,B189,0)</f>
        <v>#N/A</v>
      </c>
      <c r="E189" t="e">
        <f>IF(COUNTIF(E$176:E188,"&lt;0")=0,IF(AND(D$192&gt;0,D189&gt;0,SUM(B$176:B$190)&lt;&gt;SUM(D$176:D$190)),-D189,0),IF(AND(D189=0,B189&gt;0),IF(D$192-SUM(E$176:E188)-B189&gt;=0,B189,0),0))</f>
        <v>#N/A</v>
      </c>
      <c r="F189" t="e">
        <f t="shared" si="167"/>
        <v>#N/A</v>
      </c>
      <c r="G189" t="e">
        <f>IF(F189&gt;0,F189*10+COUNTIF(F$176:F189,F189)+J170,0)</f>
        <v>#N/A</v>
      </c>
      <c r="H189" t="e">
        <f t="shared" si="168"/>
        <v>#N/A</v>
      </c>
      <c r="Z189" s="264"/>
      <c r="AA189">
        <v>186</v>
      </c>
      <c r="AB189" cm="1">
        <f t="array" ref="AB189">VLOOKUP(ROW(186:186),S$4:T$153,2)</f>
        <v>0</v>
      </c>
      <c r="AD189" t="str">
        <f t="shared" si="159"/>
        <v/>
      </c>
      <c r="AE189" t="e">
        <f t="shared" si="144"/>
        <v>#N/A</v>
      </c>
      <c r="AF189" t="str">
        <f t="shared" si="160"/>
        <v/>
      </c>
      <c r="AG189" t="str">
        <f>_xlfn.XLOOKUP(AB189,'Order Page'!X$27:X$393,'Order Page'!C$27:C$393,"")</f>
        <v>Acorus Calamus</v>
      </c>
      <c r="AH189">
        <f t="shared" si="161"/>
        <v>0</v>
      </c>
      <c r="AI189">
        <f t="shared" si="162"/>
        <v>0</v>
      </c>
      <c r="AJ189">
        <f t="shared" si="150"/>
        <v>0</v>
      </c>
      <c r="AK189">
        <f t="shared" si="145"/>
        <v>0</v>
      </c>
      <c r="AL189">
        <f>IF(OR(AD188&amp;AF188&lt;&gt;AD189&amp;AF189,AK189&lt;AK188),AK188,0)+MAX(AL$4:AL188)</f>
        <v>0</v>
      </c>
      <c r="AM189">
        <f t="shared" si="146"/>
        <v>0</v>
      </c>
      <c r="AO189" s="25" t="str">
        <f t="shared" si="147"/>
        <v/>
      </c>
      <c r="AP189" s="25" t="str">
        <f t="shared" si="163"/>
        <v/>
      </c>
      <c r="AQ189" t="str">
        <f t="shared" si="148"/>
        <v/>
      </c>
      <c r="AR189" t="str">
        <f t="shared" si="164"/>
        <v/>
      </c>
      <c r="AS189">
        <f t="shared" si="165"/>
        <v>0</v>
      </c>
      <c r="AT189">
        <f t="shared" si="149"/>
        <v>0</v>
      </c>
      <c r="AU189" t="str">
        <f>_xlfn.XLOOKUP(AB189,'Order Page'!X$24:X$378,'Order Page'!B$24:B$378,0)</f>
        <v>x6</v>
      </c>
      <c r="AV189">
        <f>_xlfn.XLOOKUP(AB189,'Order Page'!X$24:X$378,'Order Page'!O$24:O$378,0)</f>
        <v>38</v>
      </c>
      <c r="AW189" s="264"/>
    </row>
    <row r="190" spans="1:49" x14ac:dyDescent="0.25">
      <c r="A190">
        <v>15</v>
      </c>
      <c r="B190" t="e">
        <f t="shared" si="166"/>
        <v>#N/A</v>
      </c>
      <c r="D190" t="e">
        <f>IF(G$89-SUM(D$176:D189)-B190&gt;=0,B190,0)</f>
        <v>#N/A</v>
      </c>
      <c r="E190" t="e">
        <f>IF(COUNTIF(E$176:E189,"&lt;0")=0,IF(AND(D$192&gt;0,D190&gt;0,SUM(B$176:B$190)&lt;&gt;SUM(D$176:D$190)),-D190,0),IF(AND(D190=0,B190&gt;0),IF(D$192-SUM(E$176:E189)-B190&gt;=0,B190,0),0))</f>
        <v>#N/A</v>
      </c>
      <c r="F190" t="e">
        <f t="shared" si="167"/>
        <v>#N/A</v>
      </c>
      <c r="G190" t="e">
        <f>IF(F190&gt;0,F190*10+COUNTIF(F$176:F190,F190)+J171,0)</f>
        <v>#N/A</v>
      </c>
      <c r="H190" t="e">
        <f t="shared" si="168"/>
        <v>#N/A</v>
      </c>
      <c r="Z190" s="264"/>
      <c r="AA190">
        <v>187</v>
      </c>
      <c r="AB190" cm="1">
        <f t="array" ref="AB190">VLOOKUP(ROW(187:187),S$4:T$153,2)</f>
        <v>0</v>
      </c>
      <c r="AD190" t="str">
        <f t="shared" si="159"/>
        <v/>
      </c>
      <c r="AE190" t="e">
        <f t="shared" si="144"/>
        <v>#N/A</v>
      </c>
      <c r="AF190" t="str">
        <f t="shared" si="160"/>
        <v/>
      </c>
      <c r="AG190" t="str">
        <f>_xlfn.XLOOKUP(AB190,'Order Page'!X$27:X$393,'Order Page'!C$27:C$393,"")</f>
        <v>Acorus Calamus</v>
      </c>
      <c r="AH190">
        <f t="shared" si="161"/>
        <v>0</v>
      </c>
      <c r="AI190">
        <f t="shared" si="162"/>
        <v>0</v>
      </c>
      <c r="AJ190">
        <f t="shared" si="150"/>
        <v>0</v>
      </c>
      <c r="AK190">
        <f t="shared" si="145"/>
        <v>0</v>
      </c>
      <c r="AL190">
        <f>IF(OR(AD189&amp;AF189&lt;&gt;AD190&amp;AF190,AK190&lt;AK189),AK189,0)+MAX(AL$4:AL189)</f>
        <v>0</v>
      </c>
      <c r="AM190">
        <f t="shared" si="146"/>
        <v>0</v>
      </c>
      <c r="AO190" s="25" t="str">
        <f t="shared" si="147"/>
        <v/>
      </c>
      <c r="AP190" s="25" t="str">
        <f t="shared" si="163"/>
        <v/>
      </c>
      <c r="AQ190" t="str">
        <f t="shared" si="148"/>
        <v/>
      </c>
      <c r="AR190" t="str">
        <f t="shared" si="164"/>
        <v/>
      </c>
      <c r="AS190">
        <f t="shared" si="165"/>
        <v>0</v>
      </c>
      <c r="AT190">
        <f t="shared" si="149"/>
        <v>0</v>
      </c>
      <c r="AU190" t="str">
        <f>_xlfn.XLOOKUP(AB190,'Order Page'!X$24:X$378,'Order Page'!B$24:B$378,0)</f>
        <v>x6</v>
      </c>
      <c r="AV190">
        <f>_xlfn.XLOOKUP(AB190,'Order Page'!X$24:X$378,'Order Page'!O$24:O$378,0)</f>
        <v>38</v>
      </c>
      <c r="AW190" s="264"/>
    </row>
    <row r="191" spans="1:49" x14ac:dyDescent="0.25">
      <c r="D191">
        <f>C$98-COUNTIF(D100:D114,"&gt;"&amp;0)-COUNTIF(D138:D152,"&gt;"&amp;0)-COUNTIF(D119:D133,"&gt;"&amp;0)-COUNTIF(D157:D171,"&gt;"&amp;0)-COUNTIF(D176:D190,"&gt;"&amp;0)</f>
        <v>0</v>
      </c>
      <c r="Z191" s="264"/>
      <c r="AA191">
        <v>188</v>
      </c>
      <c r="AB191" cm="1">
        <f t="array" ref="AB191">VLOOKUP(ROW(188:188),S$4:T$153,2)</f>
        <v>0</v>
      </c>
      <c r="AD191" t="str">
        <f t="shared" si="159"/>
        <v/>
      </c>
      <c r="AE191" t="e">
        <f t="shared" si="144"/>
        <v>#N/A</v>
      </c>
      <c r="AF191" t="str">
        <f t="shared" si="160"/>
        <v/>
      </c>
      <c r="AG191" t="str">
        <f>_xlfn.XLOOKUP(AB191,'Order Page'!X$27:X$393,'Order Page'!C$27:C$393,"")</f>
        <v>Acorus Calamus</v>
      </c>
      <c r="AH191">
        <f t="shared" si="161"/>
        <v>0</v>
      </c>
      <c r="AI191">
        <f t="shared" si="162"/>
        <v>0</v>
      </c>
      <c r="AJ191">
        <f t="shared" si="150"/>
        <v>0</v>
      </c>
      <c r="AK191">
        <f t="shared" si="145"/>
        <v>0</v>
      </c>
      <c r="AL191">
        <f>IF(OR(AD190&amp;AF190&lt;&gt;AD191&amp;AF191,AK191&lt;AK190),AK190,0)+MAX(AL$4:AL190)</f>
        <v>0</v>
      </c>
      <c r="AM191">
        <f t="shared" si="146"/>
        <v>0</v>
      </c>
      <c r="AO191" s="25" t="str">
        <f t="shared" si="147"/>
        <v/>
      </c>
      <c r="AP191" s="25" t="str">
        <f t="shared" si="163"/>
        <v/>
      </c>
      <c r="AQ191" t="str">
        <f t="shared" si="148"/>
        <v/>
      </c>
      <c r="AR191" t="str">
        <f t="shared" si="164"/>
        <v/>
      </c>
      <c r="AS191">
        <f t="shared" si="165"/>
        <v>0</v>
      </c>
      <c r="AT191">
        <f t="shared" si="149"/>
        <v>0</v>
      </c>
      <c r="AU191" t="str">
        <f>_xlfn.XLOOKUP(AB191,'Order Page'!X$24:X$378,'Order Page'!B$24:B$378,0)</f>
        <v>x6</v>
      </c>
      <c r="AV191">
        <f>_xlfn.XLOOKUP(AB191,'Order Page'!X$24:X$378,'Order Page'!O$24:O$378,0)</f>
        <v>38</v>
      </c>
      <c r="AW191" s="264"/>
    </row>
    <row r="192" spans="1:49" x14ac:dyDescent="0.25">
      <c r="A192" t="s">
        <v>701</v>
      </c>
      <c r="D192" t="e">
        <f>G89-SUM(D176:D190)</f>
        <v>#N/A</v>
      </c>
      <c r="E192" t="e">
        <f>D192-SUM(E176:E190)</f>
        <v>#N/A</v>
      </c>
      <c r="Z192" s="264"/>
      <c r="AA192">
        <v>189</v>
      </c>
      <c r="AB192" cm="1">
        <f t="array" ref="AB192">VLOOKUP(ROW(189:189),S$4:T$153,2)</f>
        <v>0</v>
      </c>
      <c r="AD192" t="str">
        <f t="shared" si="159"/>
        <v/>
      </c>
      <c r="AE192" t="e">
        <f t="shared" si="144"/>
        <v>#N/A</v>
      </c>
      <c r="AF192" t="str">
        <f t="shared" si="160"/>
        <v/>
      </c>
      <c r="AG192" t="str">
        <f>_xlfn.XLOOKUP(AB192,'Order Page'!X$27:X$393,'Order Page'!C$27:C$393,"")</f>
        <v>Acorus Calamus</v>
      </c>
      <c r="AH192">
        <f t="shared" si="161"/>
        <v>0</v>
      </c>
      <c r="AI192">
        <f t="shared" si="162"/>
        <v>0</v>
      </c>
      <c r="AJ192">
        <f t="shared" si="150"/>
        <v>0</v>
      </c>
      <c r="AK192">
        <f t="shared" si="145"/>
        <v>0</v>
      </c>
      <c r="AL192">
        <f>IF(OR(AD191&amp;AF191&lt;&gt;AD192&amp;AF192,AK192&lt;AK191),AK191,0)+MAX(AL$4:AL191)</f>
        <v>0</v>
      </c>
      <c r="AM192">
        <f t="shared" si="146"/>
        <v>0</v>
      </c>
      <c r="AO192" s="25" t="str">
        <f t="shared" si="147"/>
        <v/>
      </c>
      <c r="AP192" s="25" t="str">
        <f t="shared" si="163"/>
        <v/>
      </c>
      <c r="AQ192" t="str">
        <f t="shared" si="148"/>
        <v/>
      </c>
      <c r="AR192" t="str">
        <f t="shared" si="164"/>
        <v/>
      </c>
      <c r="AS192">
        <f t="shared" si="165"/>
        <v>0</v>
      </c>
      <c r="AT192">
        <f t="shared" si="149"/>
        <v>0</v>
      </c>
      <c r="AU192" t="str">
        <f>_xlfn.XLOOKUP(AB192,'Order Page'!X$24:X$378,'Order Page'!B$24:B$378,0)</f>
        <v>x6</v>
      </c>
      <c r="AV192">
        <f>_xlfn.XLOOKUP(AB192,'Order Page'!X$24:X$378,'Order Page'!O$24:O$378,0)</f>
        <v>38</v>
      </c>
      <c r="AW192" s="264"/>
    </row>
    <row r="193" spans="1:49" x14ac:dyDescent="0.25">
      <c r="K193" t="s">
        <v>724</v>
      </c>
      <c r="Z193" s="264"/>
      <c r="AA193">
        <v>190</v>
      </c>
      <c r="AB193" cm="1">
        <f t="array" ref="AB193">VLOOKUP(ROW(190:190),S$4:T$153,2)</f>
        <v>0</v>
      </c>
      <c r="AD193" t="str">
        <f t="shared" si="159"/>
        <v/>
      </c>
      <c r="AE193" t="e">
        <f t="shared" si="144"/>
        <v>#N/A</v>
      </c>
      <c r="AF193" t="str">
        <f t="shared" si="160"/>
        <v/>
      </c>
      <c r="AG193" t="str">
        <f>_xlfn.XLOOKUP(AB193,'Order Page'!X$27:X$393,'Order Page'!C$27:C$393,"")</f>
        <v>Acorus Calamus</v>
      </c>
      <c r="AH193">
        <f t="shared" si="161"/>
        <v>0</v>
      </c>
      <c r="AI193">
        <f t="shared" si="162"/>
        <v>0</v>
      </c>
      <c r="AJ193">
        <f t="shared" si="150"/>
        <v>0</v>
      </c>
      <c r="AK193">
        <f t="shared" si="145"/>
        <v>0</v>
      </c>
      <c r="AL193">
        <f>IF(OR(AD192&amp;AF192&lt;&gt;AD193&amp;AF193,AK193&lt;AK192),AK192,0)+MAX(AL$4:AL192)</f>
        <v>0</v>
      </c>
      <c r="AM193">
        <f t="shared" si="146"/>
        <v>0</v>
      </c>
      <c r="AO193" s="25" t="str">
        <f t="shared" si="147"/>
        <v/>
      </c>
      <c r="AP193" s="25" t="str">
        <f t="shared" si="163"/>
        <v/>
      </c>
      <c r="AQ193" t="str">
        <f t="shared" si="148"/>
        <v/>
      </c>
      <c r="AR193" t="str">
        <f t="shared" si="164"/>
        <v/>
      </c>
      <c r="AS193">
        <f t="shared" si="165"/>
        <v>0</v>
      </c>
      <c r="AT193">
        <f t="shared" si="149"/>
        <v>0</v>
      </c>
      <c r="AU193" t="str">
        <f>_xlfn.XLOOKUP(AB193,'Order Page'!X$24:X$378,'Order Page'!B$24:B$378,0)</f>
        <v>x6</v>
      </c>
      <c r="AV193">
        <f>_xlfn.XLOOKUP(AB193,'Order Page'!X$24:X$378,'Order Page'!O$24:O$378,0)</f>
        <v>38</v>
      </c>
      <c r="AW193" s="264"/>
    </row>
    <row r="194" spans="1:49" x14ac:dyDescent="0.25">
      <c r="A194" t="s">
        <v>665</v>
      </c>
      <c r="B194" t="s">
        <v>685</v>
      </c>
      <c r="C194" t="s">
        <v>683</v>
      </c>
      <c r="D194" t="s">
        <v>717</v>
      </c>
      <c r="F194">
        <v>1</v>
      </c>
      <c r="G194">
        <v>2</v>
      </c>
      <c r="H194">
        <v>3</v>
      </c>
      <c r="I194">
        <v>4</v>
      </c>
      <c r="J194">
        <v>5</v>
      </c>
      <c r="Z194" s="264"/>
      <c r="AA194">
        <v>191</v>
      </c>
      <c r="AB194" cm="1">
        <f t="array" ref="AB194">VLOOKUP(ROW(191:191),S$4:T$153,2)</f>
        <v>0</v>
      </c>
      <c r="AD194" t="str">
        <f t="shared" si="159"/>
        <v/>
      </c>
      <c r="AE194" t="e">
        <f t="shared" si="144"/>
        <v>#N/A</v>
      </c>
      <c r="AF194" t="str">
        <f t="shared" si="160"/>
        <v/>
      </c>
      <c r="AG194" t="str">
        <f>_xlfn.XLOOKUP(AB194,'Order Page'!X$27:X$393,'Order Page'!C$27:C$393,"")</f>
        <v>Acorus Calamus</v>
      </c>
      <c r="AH194">
        <f t="shared" si="161"/>
        <v>0</v>
      </c>
      <c r="AI194">
        <f t="shared" si="162"/>
        <v>0</v>
      </c>
      <c r="AJ194">
        <f t="shared" si="150"/>
        <v>0</v>
      </c>
      <c r="AK194">
        <f t="shared" si="145"/>
        <v>0</v>
      </c>
      <c r="AL194">
        <f>IF(OR(AD193&amp;AF193&lt;&gt;AD194&amp;AF194,AK194&lt;AK193),AK193,0)+MAX(AL$4:AL193)</f>
        <v>0</v>
      </c>
      <c r="AM194">
        <f t="shared" si="146"/>
        <v>0</v>
      </c>
      <c r="AO194" s="25" t="str">
        <f t="shared" si="147"/>
        <v/>
      </c>
      <c r="AP194" s="25" t="str">
        <f t="shared" si="163"/>
        <v/>
      </c>
      <c r="AQ194" t="str">
        <f t="shared" si="148"/>
        <v/>
      </c>
      <c r="AR194" t="str">
        <f t="shared" si="164"/>
        <v/>
      </c>
      <c r="AS194">
        <f t="shared" si="165"/>
        <v>0</v>
      </c>
      <c r="AT194">
        <f t="shared" si="149"/>
        <v>0</v>
      </c>
      <c r="AU194" t="str">
        <f>_xlfn.XLOOKUP(AB194,'Order Page'!X$24:X$378,'Order Page'!B$24:B$378,0)</f>
        <v>x6</v>
      </c>
      <c r="AV194">
        <f>_xlfn.XLOOKUP(AB194,'Order Page'!X$24:X$378,'Order Page'!O$24:O$378,0)</f>
        <v>38</v>
      </c>
      <c r="AW194" s="264"/>
    </row>
    <row r="195" spans="1:49" x14ac:dyDescent="0.25">
      <c r="A195">
        <v>1</v>
      </c>
      <c r="B195">
        <f>COUNTIF(H$100:H$114,A195)+COUNTIF(H$119:H$133,A195)*2+COUNTIF(H$138:H$152,A195)*3+COUNTIF(H$157:H$171,A195)*4+COUNTIF(H$176:H$190,A195)*5+COUNTIF(C$84:C$87,A195)+COUNTIF(D$84:D$87,A195)*2+COUNTIF(E$84:E$87,A195)*3+COUNTIF(F$84:F$87,A195)*4+COUNTIF(G$84:G$87,A195)*5</f>
        <v>0</v>
      </c>
      <c r="C195">
        <f>COUNTIF(C$84:G$84,A195)</f>
        <v>0</v>
      </c>
      <c r="D195" s="317">
        <f>D61+E195</f>
        <v>1E-3</v>
      </c>
      <c r="E195">
        <v>1E-3</v>
      </c>
      <c r="F195">
        <f>IF(AND($B195=F$194,$C195=0),RANK($D195,$D$195:$D$214,1),0)+IF($B195=F$194,$C195)</f>
        <v>0</v>
      </c>
      <c r="G195">
        <f t="shared" ref="G195:J210" si="169">IF(AND($B195=G$194,$C195=0),RANK($D195,$D$195:$D$214,1),0)+IF($B195=G$194,$C195)</f>
        <v>0</v>
      </c>
      <c r="H195">
        <f t="shared" si="169"/>
        <v>0</v>
      </c>
      <c r="I195">
        <f t="shared" si="169"/>
        <v>0</v>
      </c>
      <c r="J195">
        <f t="shared" si="169"/>
        <v>0</v>
      </c>
      <c r="K195">
        <f>SUMIF(AS$4:AS$203,A195,AI$4:AI$203)</f>
        <v>0</v>
      </c>
      <c r="Z195" s="264"/>
      <c r="AA195">
        <v>192</v>
      </c>
      <c r="AB195" cm="1">
        <f t="array" ref="AB195">VLOOKUP(ROW(192:192),S$4:T$153,2)</f>
        <v>0</v>
      </c>
      <c r="AD195" t="str">
        <f t="shared" si="159"/>
        <v/>
      </c>
      <c r="AE195" t="e">
        <f t="shared" si="144"/>
        <v>#N/A</v>
      </c>
      <c r="AF195" t="str">
        <f t="shared" si="160"/>
        <v/>
      </c>
      <c r="AG195" t="str">
        <f>_xlfn.XLOOKUP(AB195,'Order Page'!X$27:X$393,'Order Page'!C$27:C$393,"")</f>
        <v>Acorus Calamus</v>
      </c>
      <c r="AH195">
        <f t="shared" si="161"/>
        <v>0</v>
      </c>
      <c r="AI195">
        <f t="shared" si="162"/>
        <v>0</v>
      </c>
      <c r="AJ195">
        <f t="shared" si="150"/>
        <v>0</v>
      </c>
      <c r="AK195">
        <f t="shared" si="145"/>
        <v>0</v>
      </c>
      <c r="AL195">
        <f>IF(OR(AD194&amp;AF194&lt;&gt;AD195&amp;AF195,AK195&lt;AK194),AK194,0)+MAX(AL$4:AL194)</f>
        <v>0</v>
      </c>
      <c r="AM195">
        <f t="shared" si="146"/>
        <v>0</v>
      </c>
      <c r="AO195" s="25" t="str">
        <f t="shared" si="147"/>
        <v/>
      </c>
      <c r="AP195" s="25" t="str">
        <f t="shared" si="163"/>
        <v/>
      </c>
      <c r="AQ195" t="str">
        <f t="shared" si="148"/>
        <v/>
      </c>
      <c r="AR195" t="str">
        <f t="shared" si="164"/>
        <v/>
      </c>
      <c r="AS195">
        <f t="shared" si="165"/>
        <v>0</v>
      </c>
      <c r="AT195">
        <f t="shared" si="149"/>
        <v>0</v>
      </c>
      <c r="AU195" t="str">
        <f>_xlfn.XLOOKUP(AB195,'Order Page'!X$24:X$378,'Order Page'!B$24:B$378,0)</f>
        <v>x6</v>
      </c>
      <c r="AV195">
        <f>_xlfn.XLOOKUP(AB195,'Order Page'!X$24:X$378,'Order Page'!O$24:O$378,0)</f>
        <v>38</v>
      </c>
      <c r="AW195" s="264"/>
    </row>
    <row r="196" spans="1:49" x14ac:dyDescent="0.25">
      <c r="A196">
        <v>2</v>
      </c>
      <c r="B196">
        <f>COUNTIF(H$100:H$114,A196)+COUNTIF(H$119:H$133,A196)*2+COUNTIF(H$138:H$152,A196)*3+COUNTIF(H$157:H$171,A196)*4+COUNTIF(H$176:H$190,A196)*5+COUNTIF(C$84:C$87,A196)+COUNTIF(D$84:D$87,A196)*2+COUNTIF(E$84:E$87,A196)*3+COUNTIF(F$84:F$87,A196)*4+COUNTIF(G$84:G$87,A196)*5</f>
        <v>0</v>
      </c>
      <c r="C196">
        <f t="shared" ref="C196:C214" si="170">COUNTIF(C$84:G$84,A196)</f>
        <v>0</v>
      </c>
      <c r="D196" s="317">
        <f t="shared" ref="D196:D214" si="171">D62+E196</f>
        <v>2E-3</v>
      </c>
      <c r="E196">
        <v>2E-3</v>
      </c>
      <c r="F196">
        <f>IF(AND($B196=F$194,$C196=0),RANK($D196,$D$195:$D$214,1),0)+IF($B196=F$194,$C196)</f>
        <v>0</v>
      </c>
      <c r="G196">
        <f t="shared" si="169"/>
        <v>0</v>
      </c>
      <c r="H196">
        <f t="shared" si="169"/>
        <v>0</v>
      </c>
      <c r="I196">
        <f t="shared" si="169"/>
        <v>0</v>
      </c>
      <c r="J196">
        <f>IF(AND($B196=J$194,$C196=0),RANK($D196,$D$195:$D$214,1),0)+IF($B196=J$194,$C196)</f>
        <v>0</v>
      </c>
      <c r="K196">
        <f t="shared" ref="K196:K214" si="172">SUMIF(AS$4:AS$203,A196,AI$4:AI$203)</f>
        <v>0</v>
      </c>
      <c r="Z196" s="264"/>
      <c r="AA196">
        <v>193</v>
      </c>
      <c r="AB196" cm="1">
        <f t="array" ref="AB196">VLOOKUP(ROW(193:193),S$4:T$153,2)</f>
        <v>0</v>
      </c>
      <c r="AD196" t="str">
        <f t="shared" ref="AD196:AD203" si="173">_xlfn.XLOOKUP(AB196,L$4:L$153,M$4:M$153,"")</f>
        <v/>
      </c>
      <c r="AE196" t="e">
        <f t="shared" si="144"/>
        <v>#N/A</v>
      </c>
      <c r="AF196" t="str">
        <f t="shared" ref="AF196:AF203" si="174">_xlfn.XLOOKUP(AB196,L$4:L$153,N$4:N$153,"")</f>
        <v/>
      </c>
      <c r="AG196" t="str">
        <f>_xlfn.XLOOKUP(AB196,'Order Page'!X$27:X$393,'Order Page'!C$27:C$393,"")</f>
        <v>Acorus Calamus</v>
      </c>
      <c r="AH196">
        <f t="shared" ref="AH196:AH203" si="175">_xlfn.XLOOKUP(AD196&amp;AF196,E$5:E$35,H$5:H$35,0)</f>
        <v>0</v>
      </c>
      <c r="AI196">
        <f t="shared" ref="AI196:AI203" si="176">_xlfn.XLOOKUP(AD196,B$5:B$35,D$5:D$35,0)</f>
        <v>0</v>
      </c>
      <c r="AJ196">
        <f t="shared" si="150"/>
        <v>0</v>
      </c>
      <c r="AK196">
        <f t="shared" si="145"/>
        <v>0</v>
      </c>
      <c r="AL196">
        <f>IF(OR(AD195&amp;AF195&lt;&gt;AD196&amp;AF196,AK196&lt;AK195),AK195,0)+MAX(AL$4:AL195)</f>
        <v>0</v>
      </c>
      <c r="AM196">
        <f t="shared" si="146"/>
        <v>0</v>
      </c>
      <c r="AO196" s="25" t="str">
        <f t="shared" si="147"/>
        <v/>
      </c>
      <c r="AP196" s="25" t="str">
        <f t="shared" ref="AP196:AP203" si="177">IF(AND(AO196="Y",OR(AD196="Waterlily",AD196="Planted Contour Basket Standard",AD196="Planted Contour Basket Premium")),"Y","")</f>
        <v/>
      </c>
      <c r="AQ196" t="str">
        <f t="shared" si="148"/>
        <v/>
      </c>
      <c r="AR196" t="str">
        <f t="shared" ref="AR196:AR203" si="178">IFERROR(IF(AQ196&gt;0,RANK(AQ196,AQ$4:AQ$203,1),0)-AM$2,"")</f>
        <v/>
      </c>
      <c r="AS196">
        <f t="shared" ref="AS196:AS203" si="179">AM196+IF(AR196&lt;1,_xlfn.XLOOKUP(AR196,AX$4:AX$16,BE$4:BE$16,0))+IF(AR196&gt;0,_xlfn.XLOOKUP(AR196,AX$22:AX$103,BN$22:BN$103,0),0)</f>
        <v>0</v>
      </c>
      <c r="AT196">
        <f t="shared" si="149"/>
        <v>0</v>
      </c>
      <c r="AU196" t="str">
        <f>_xlfn.XLOOKUP(AB196,'Order Page'!X$24:X$378,'Order Page'!B$24:B$378,0)</f>
        <v>x6</v>
      </c>
      <c r="AV196">
        <f>_xlfn.XLOOKUP(AB196,'Order Page'!X$24:X$378,'Order Page'!O$24:O$378,0)</f>
        <v>38</v>
      </c>
      <c r="AW196" s="264"/>
    </row>
    <row r="197" spans="1:49" x14ac:dyDescent="0.25">
      <c r="A197">
        <v>3</v>
      </c>
      <c r="B197">
        <f t="shared" ref="B197:B208" si="180">COUNTIF(H$100:H$114,A197)+COUNTIF(H$119:H$133,A197)*2+COUNTIF(H$138:H$152,A197)*3+COUNTIF(H$157:H$171,A197)*4+COUNTIF(H$176:H$190,A197)*5+COUNTIF(C$84:C$87,A197)+COUNTIF(D$84:D$87,A197)*2+COUNTIF(E$84:E$87,A197)*3+COUNTIF(F$84:F$87,A197)*4+COUNTIF(G$84:G$87,A197)*5</f>
        <v>0</v>
      </c>
      <c r="C197">
        <f t="shared" si="170"/>
        <v>0</v>
      </c>
      <c r="D197" s="317">
        <f t="shared" si="171"/>
        <v>3.0000000000000001E-3</v>
      </c>
      <c r="E197">
        <v>3.0000000000000001E-3</v>
      </c>
      <c r="F197">
        <f t="shared" ref="F197:J214" si="181">IF(AND($B197=F$194,$C197=0),RANK($D197,$D$195:$D$214,1),0)+IF($B197=F$194,$C197)</f>
        <v>0</v>
      </c>
      <c r="G197">
        <f t="shared" si="169"/>
        <v>0</v>
      </c>
      <c r="H197">
        <f t="shared" si="169"/>
        <v>0</v>
      </c>
      <c r="I197">
        <f t="shared" si="169"/>
        <v>0</v>
      </c>
      <c r="J197">
        <f t="shared" si="169"/>
        <v>0</v>
      </c>
      <c r="K197">
        <f t="shared" si="172"/>
        <v>0</v>
      </c>
      <c r="Z197" s="264"/>
      <c r="AA197">
        <v>194</v>
      </c>
      <c r="AB197" cm="1">
        <f t="array" ref="AB197">VLOOKUP(ROW(194:194),S$4:T$153,2)</f>
        <v>0</v>
      </c>
      <c r="AD197" t="str">
        <f t="shared" si="173"/>
        <v/>
      </c>
      <c r="AE197" t="e">
        <f t="shared" ref="AE197:AE203" si="182">_xlfn.XLOOKUP(AD197,B$5:B$33,J$5:J$33)</f>
        <v>#N/A</v>
      </c>
      <c r="AF197" t="str">
        <f t="shared" si="174"/>
        <v/>
      </c>
      <c r="AG197" t="str">
        <f>_xlfn.XLOOKUP(AB197,'Order Page'!X$27:X$393,'Order Page'!C$27:C$393,"")</f>
        <v>Acorus Calamus</v>
      </c>
      <c r="AH197">
        <f t="shared" si="175"/>
        <v>0</v>
      </c>
      <c r="AI197">
        <f t="shared" si="176"/>
        <v>0</v>
      </c>
      <c r="AJ197">
        <f t="shared" si="150"/>
        <v>0</v>
      </c>
      <c r="AK197">
        <f t="shared" ref="AK197:AK203" si="183">IF(AJ197&lt;AH197+0.001,ROUNDUP(AJ197,0),0)</f>
        <v>0</v>
      </c>
      <c r="AL197">
        <f>IF(OR(AD196&amp;AF196&lt;&gt;AD197&amp;AF197,AK197&lt;AK196),AK196,0)+MAX(AL$4:AL196)</f>
        <v>0</v>
      </c>
      <c r="AM197">
        <f t="shared" ref="AM197:AM203" si="184">IF(AK197&gt;0,AK197+AL197,0)</f>
        <v>0</v>
      </c>
      <c r="AO197" s="25" t="str">
        <f t="shared" ref="AO197:AO203" si="185">IF(AND(AM197=0,AI197&gt;0),"Y","")</f>
        <v/>
      </c>
      <c r="AP197" s="25" t="str">
        <f t="shared" si="177"/>
        <v/>
      </c>
      <c r="AQ197" t="str">
        <f t="shared" ref="AQ197:AQ203" si="186">IF(AO197="Y",IF(AD197="Waterlily",1000,IF(OR(AD197="Planted Contour Basket Standard", AD197="Planted Contour Basket Premium"),2000,(100-AF197)*100))+AA197,"")</f>
        <v/>
      </c>
      <c r="AR197" t="str">
        <f t="shared" si="178"/>
        <v/>
      </c>
      <c r="AS197">
        <f t="shared" si="179"/>
        <v>0</v>
      </c>
      <c r="AT197">
        <f t="shared" ref="AT197:AT203" si="187">_xlfn.XLOOKUP(AS197,A$218:A$237,I$218:I$237,0)</f>
        <v>0</v>
      </c>
      <c r="AU197" t="str">
        <f>_xlfn.XLOOKUP(AB197,'Order Page'!X$24:X$378,'Order Page'!B$24:B$378,0)</f>
        <v>x6</v>
      </c>
      <c r="AV197">
        <f>_xlfn.XLOOKUP(AB197,'Order Page'!X$24:X$378,'Order Page'!O$24:O$378,0)</f>
        <v>38</v>
      </c>
      <c r="AW197" s="264"/>
    </row>
    <row r="198" spans="1:49" x14ac:dyDescent="0.25">
      <c r="A198">
        <v>4</v>
      </c>
      <c r="B198">
        <f t="shared" si="180"/>
        <v>0</v>
      </c>
      <c r="C198">
        <f t="shared" si="170"/>
        <v>0</v>
      </c>
      <c r="D198" s="317">
        <f t="shared" si="171"/>
        <v>4.0000000000000001E-3</v>
      </c>
      <c r="E198">
        <v>4.0000000000000001E-3</v>
      </c>
      <c r="F198">
        <f t="shared" si="181"/>
        <v>0</v>
      </c>
      <c r="G198">
        <f t="shared" si="169"/>
        <v>0</v>
      </c>
      <c r="H198">
        <f t="shared" si="169"/>
        <v>0</v>
      </c>
      <c r="I198">
        <f t="shared" si="169"/>
        <v>0</v>
      </c>
      <c r="J198">
        <f t="shared" si="169"/>
        <v>0</v>
      </c>
      <c r="K198">
        <f t="shared" si="172"/>
        <v>0</v>
      </c>
      <c r="Z198" s="264"/>
      <c r="AA198">
        <v>195</v>
      </c>
      <c r="AB198" cm="1">
        <f t="array" ref="AB198">VLOOKUP(ROW(195:195),S$4:T$153,2)</f>
        <v>0</v>
      </c>
      <c r="AD198" t="str">
        <f t="shared" si="173"/>
        <v/>
      </c>
      <c r="AE198" t="e">
        <f t="shared" si="182"/>
        <v>#N/A</v>
      </c>
      <c r="AF198" t="str">
        <f t="shared" si="174"/>
        <v/>
      </c>
      <c r="AG198" t="str">
        <f>_xlfn.XLOOKUP(AB198,'Order Page'!X$27:X$393,'Order Page'!C$27:C$393,"")</f>
        <v>Acorus Calamus</v>
      </c>
      <c r="AH198">
        <f t="shared" si="175"/>
        <v>0</v>
      </c>
      <c r="AI198">
        <f t="shared" si="176"/>
        <v>0</v>
      </c>
      <c r="AJ198">
        <f t="shared" ref="AJ198:AJ203" si="188">IF(AND(AD198&amp;AF198=AD197&amp;AF197,AH198&gt;0),AJ197+AI198,IF(AH198&gt;0,AI198,0))</f>
        <v>0</v>
      </c>
      <c r="AK198">
        <f t="shared" si="183"/>
        <v>0</v>
      </c>
      <c r="AL198">
        <f>IF(OR(AD197&amp;AF197&lt;&gt;AD198&amp;AF198,AK198&lt;AK197),AK197,0)+MAX(AL$4:AL197)</f>
        <v>0</v>
      </c>
      <c r="AM198">
        <f t="shared" si="184"/>
        <v>0</v>
      </c>
      <c r="AO198" s="25" t="str">
        <f t="shared" si="185"/>
        <v/>
      </c>
      <c r="AP198" s="25" t="str">
        <f t="shared" si="177"/>
        <v/>
      </c>
      <c r="AQ198" t="str">
        <f t="shared" si="186"/>
        <v/>
      </c>
      <c r="AR198" t="str">
        <f t="shared" si="178"/>
        <v/>
      </c>
      <c r="AS198">
        <f t="shared" si="179"/>
        <v>0</v>
      </c>
      <c r="AT198">
        <f t="shared" si="187"/>
        <v>0</v>
      </c>
      <c r="AU198" t="str">
        <f>_xlfn.XLOOKUP(AB198,'Order Page'!X$24:X$378,'Order Page'!B$24:B$378,0)</f>
        <v>x6</v>
      </c>
      <c r="AV198">
        <f>_xlfn.XLOOKUP(AB198,'Order Page'!X$24:X$378,'Order Page'!O$24:O$378,0)</f>
        <v>38</v>
      </c>
      <c r="AW198" s="264"/>
    </row>
    <row r="199" spans="1:49" x14ac:dyDescent="0.25">
      <c r="A199">
        <v>5</v>
      </c>
      <c r="B199">
        <f t="shared" si="180"/>
        <v>0</v>
      </c>
      <c r="C199">
        <f t="shared" si="170"/>
        <v>0</v>
      </c>
      <c r="D199" s="317">
        <f t="shared" si="171"/>
        <v>5.0000000000000001E-3</v>
      </c>
      <c r="E199">
        <v>5.0000000000000001E-3</v>
      </c>
      <c r="F199">
        <f t="shared" si="181"/>
        <v>0</v>
      </c>
      <c r="G199">
        <f t="shared" si="169"/>
        <v>0</v>
      </c>
      <c r="H199">
        <f t="shared" si="169"/>
        <v>0</v>
      </c>
      <c r="I199">
        <f t="shared" si="169"/>
        <v>0</v>
      </c>
      <c r="J199">
        <f t="shared" si="169"/>
        <v>0</v>
      </c>
      <c r="K199">
        <f t="shared" si="172"/>
        <v>0</v>
      </c>
      <c r="Z199" s="264"/>
      <c r="AA199">
        <v>196</v>
      </c>
      <c r="AB199" cm="1">
        <f t="array" ref="AB199">VLOOKUP(ROW(196:196),S$4:T$153,2)</f>
        <v>0</v>
      </c>
      <c r="AD199" t="str">
        <f t="shared" si="173"/>
        <v/>
      </c>
      <c r="AE199" t="e">
        <f t="shared" si="182"/>
        <v>#N/A</v>
      </c>
      <c r="AF199" t="str">
        <f t="shared" si="174"/>
        <v/>
      </c>
      <c r="AG199" t="str">
        <f>_xlfn.XLOOKUP(AB199,'Order Page'!X$27:X$393,'Order Page'!C$27:C$393,"")</f>
        <v>Acorus Calamus</v>
      </c>
      <c r="AH199">
        <f t="shared" si="175"/>
        <v>0</v>
      </c>
      <c r="AI199">
        <f t="shared" si="176"/>
        <v>0</v>
      </c>
      <c r="AJ199">
        <f t="shared" si="188"/>
        <v>0</v>
      </c>
      <c r="AK199">
        <f t="shared" si="183"/>
        <v>0</v>
      </c>
      <c r="AL199">
        <f>IF(OR(AD198&amp;AF198&lt;&gt;AD199&amp;AF199,AK199&lt;AK198),AK198,0)+MAX(AL$4:AL198)</f>
        <v>0</v>
      </c>
      <c r="AM199">
        <f t="shared" si="184"/>
        <v>0</v>
      </c>
      <c r="AO199" s="25" t="str">
        <f t="shared" si="185"/>
        <v/>
      </c>
      <c r="AP199" s="25" t="str">
        <f t="shared" si="177"/>
        <v/>
      </c>
      <c r="AQ199" t="str">
        <f t="shared" si="186"/>
        <v/>
      </c>
      <c r="AR199" t="str">
        <f t="shared" si="178"/>
        <v/>
      </c>
      <c r="AS199">
        <f t="shared" si="179"/>
        <v>0</v>
      </c>
      <c r="AT199">
        <f t="shared" si="187"/>
        <v>0</v>
      </c>
      <c r="AU199" t="str">
        <f>_xlfn.XLOOKUP(AB199,'Order Page'!X$24:X$378,'Order Page'!B$24:B$378,0)</f>
        <v>x6</v>
      </c>
      <c r="AV199">
        <f>_xlfn.XLOOKUP(AB199,'Order Page'!X$24:X$378,'Order Page'!O$24:O$378,0)</f>
        <v>38</v>
      </c>
      <c r="AW199" s="264"/>
    </row>
    <row r="200" spans="1:49" x14ac:dyDescent="0.25">
      <c r="A200">
        <v>6</v>
      </c>
      <c r="B200">
        <f>COUNTIF(H$100:H$114,A200)+COUNTIF(H$119:H$133,A200)*2+COUNTIF(H$138:H$152,A200)*3+COUNTIF(H$157:H$171,A200)*4+COUNTIF(H$176:H$190,A200)*5+COUNTIF(C$84:C$87,A200)+COUNTIF(D$84:D$87,A200)*2+COUNTIF(E$84:E$87,A200)*3+COUNTIF(F$84:F$87,A200)*4+COUNTIF(G$84:G$87,A200)*5</f>
        <v>0</v>
      </c>
      <c r="C200">
        <f t="shared" si="170"/>
        <v>0</v>
      </c>
      <c r="D200" s="317">
        <f t="shared" si="171"/>
        <v>6.0000000000000001E-3</v>
      </c>
      <c r="E200">
        <v>6.0000000000000001E-3</v>
      </c>
      <c r="F200">
        <f t="shared" si="181"/>
        <v>0</v>
      </c>
      <c r="G200">
        <f t="shared" si="169"/>
        <v>0</v>
      </c>
      <c r="H200">
        <f>IF(AND($B200=H$194,$C200=0),RANK($D200,$D$195:$D$214,1),0)+IF($B200=H$194,$C200)</f>
        <v>0</v>
      </c>
      <c r="I200">
        <f t="shared" si="169"/>
        <v>0</v>
      </c>
      <c r="J200">
        <f t="shared" si="169"/>
        <v>0</v>
      </c>
      <c r="K200">
        <f>SUMIF(AS$4:AS$203,A200,AI$4:AI$203)</f>
        <v>0</v>
      </c>
      <c r="Z200" s="264"/>
      <c r="AA200">
        <v>197</v>
      </c>
      <c r="AB200" cm="1">
        <f t="array" ref="AB200">VLOOKUP(ROW(197:197),S$4:T$153,2)</f>
        <v>0</v>
      </c>
      <c r="AD200" t="str">
        <f t="shared" si="173"/>
        <v/>
      </c>
      <c r="AE200" t="e">
        <f t="shared" si="182"/>
        <v>#N/A</v>
      </c>
      <c r="AF200" t="str">
        <f t="shared" si="174"/>
        <v/>
      </c>
      <c r="AG200" t="str">
        <f>_xlfn.XLOOKUP(AB200,'Order Page'!X$27:X$393,'Order Page'!C$27:C$393,"")</f>
        <v>Acorus Calamus</v>
      </c>
      <c r="AH200">
        <f t="shared" si="175"/>
        <v>0</v>
      </c>
      <c r="AI200">
        <f t="shared" si="176"/>
        <v>0</v>
      </c>
      <c r="AJ200">
        <f t="shared" si="188"/>
        <v>0</v>
      </c>
      <c r="AK200">
        <f t="shared" si="183"/>
        <v>0</v>
      </c>
      <c r="AL200">
        <f>IF(OR(AD199&amp;AF199&lt;&gt;AD200&amp;AF200,AK200&lt;AK199),AK199,0)+MAX(AL$4:AL199)</f>
        <v>0</v>
      </c>
      <c r="AM200">
        <f t="shared" si="184"/>
        <v>0</v>
      </c>
      <c r="AO200" s="25" t="str">
        <f t="shared" si="185"/>
        <v/>
      </c>
      <c r="AP200" s="25" t="str">
        <f t="shared" si="177"/>
        <v/>
      </c>
      <c r="AQ200" t="str">
        <f t="shared" si="186"/>
        <v/>
      </c>
      <c r="AR200" t="str">
        <f t="shared" si="178"/>
        <v/>
      </c>
      <c r="AS200">
        <f t="shared" si="179"/>
        <v>0</v>
      </c>
      <c r="AT200">
        <f t="shared" si="187"/>
        <v>0</v>
      </c>
      <c r="AU200" t="str">
        <f>_xlfn.XLOOKUP(AB200,'Order Page'!X$24:X$378,'Order Page'!B$24:B$378,0)</f>
        <v>x6</v>
      </c>
      <c r="AV200">
        <f>_xlfn.XLOOKUP(AB200,'Order Page'!X$24:X$378,'Order Page'!O$24:O$378,0)</f>
        <v>38</v>
      </c>
      <c r="AW200" s="264"/>
    </row>
    <row r="201" spans="1:49" x14ac:dyDescent="0.25">
      <c r="A201">
        <v>7</v>
      </c>
      <c r="B201">
        <f t="shared" si="180"/>
        <v>0</v>
      </c>
      <c r="C201">
        <f t="shared" si="170"/>
        <v>0</v>
      </c>
      <c r="D201" s="317">
        <f t="shared" si="171"/>
        <v>7.0000000000000001E-3</v>
      </c>
      <c r="E201">
        <v>7.0000000000000001E-3</v>
      </c>
      <c r="F201">
        <f t="shared" si="181"/>
        <v>0</v>
      </c>
      <c r="G201">
        <f t="shared" si="169"/>
        <v>0</v>
      </c>
      <c r="H201">
        <f t="shared" si="169"/>
        <v>0</v>
      </c>
      <c r="I201">
        <f t="shared" si="169"/>
        <v>0</v>
      </c>
      <c r="J201">
        <f t="shared" si="169"/>
        <v>0</v>
      </c>
      <c r="K201">
        <f t="shared" si="172"/>
        <v>0</v>
      </c>
      <c r="Z201" s="264"/>
      <c r="AA201">
        <v>198</v>
      </c>
      <c r="AB201" cm="1">
        <f t="array" ref="AB201">VLOOKUP(ROW(198:198),S$4:T$153,2)</f>
        <v>0</v>
      </c>
      <c r="AD201" t="str">
        <f t="shared" si="173"/>
        <v/>
      </c>
      <c r="AE201" t="e">
        <f t="shared" si="182"/>
        <v>#N/A</v>
      </c>
      <c r="AF201" t="str">
        <f t="shared" si="174"/>
        <v/>
      </c>
      <c r="AG201" t="str">
        <f>_xlfn.XLOOKUP(AB201,'Order Page'!X$27:X$393,'Order Page'!C$27:C$393,"")</f>
        <v>Acorus Calamus</v>
      </c>
      <c r="AH201">
        <f t="shared" si="175"/>
        <v>0</v>
      </c>
      <c r="AI201">
        <f t="shared" si="176"/>
        <v>0</v>
      </c>
      <c r="AJ201">
        <f t="shared" si="188"/>
        <v>0</v>
      </c>
      <c r="AK201">
        <f t="shared" si="183"/>
        <v>0</v>
      </c>
      <c r="AL201">
        <f>IF(OR(AD200&amp;AF200&lt;&gt;AD201&amp;AF201,AK201&lt;AK200),AK200,0)+MAX(AL$4:AL200)</f>
        <v>0</v>
      </c>
      <c r="AM201">
        <f t="shared" si="184"/>
        <v>0</v>
      </c>
      <c r="AO201" s="25" t="str">
        <f t="shared" si="185"/>
        <v/>
      </c>
      <c r="AP201" s="25" t="str">
        <f t="shared" si="177"/>
        <v/>
      </c>
      <c r="AQ201" t="str">
        <f t="shared" si="186"/>
        <v/>
      </c>
      <c r="AR201" t="str">
        <f t="shared" si="178"/>
        <v/>
      </c>
      <c r="AS201">
        <f t="shared" si="179"/>
        <v>0</v>
      </c>
      <c r="AT201">
        <f t="shared" si="187"/>
        <v>0</v>
      </c>
      <c r="AU201" t="str">
        <f>_xlfn.XLOOKUP(AB201,'Order Page'!X$24:X$378,'Order Page'!B$24:B$378,0)</f>
        <v>x6</v>
      </c>
      <c r="AV201">
        <f>_xlfn.XLOOKUP(AB201,'Order Page'!X$24:X$378,'Order Page'!O$24:O$378,0)</f>
        <v>38</v>
      </c>
      <c r="AW201" s="264"/>
    </row>
    <row r="202" spans="1:49" x14ac:dyDescent="0.25">
      <c r="A202">
        <v>8</v>
      </c>
      <c r="B202">
        <f t="shared" si="180"/>
        <v>0</v>
      </c>
      <c r="C202">
        <f t="shared" si="170"/>
        <v>0</v>
      </c>
      <c r="D202" s="317">
        <f t="shared" si="171"/>
        <v>8.0000000000000002E-3</v>
      </c>
      <c r="E202">
        <v>8.0000000000000002E-3</v>
      </c>
      <c r="F202">
        <f t="shared" si="181"/>
        <v>0</v>
      </c>
      <c r="G202">
        <f t="shared" si="169"/>
        <v>0</v>
      </c>
      <c r="H202">
        <f t="shared" si="169"/>
        <v>0</v>
      </c>
      <c r="I202">
        <f t="shared" si="169"/>
        <v>0</v>
      </c>
      <c r="J202">
        <f t="shared" si="169"/>
        <v>0</v>
      </c>
      <c r="K202">
        <f t="shared" si="172"/>
        <v>0</v>
      </c>
      <c r="Z202" s="264"/>
      <c r="AA202">
        <v>199</v>
      </c>
      <c r="AB202" cm="1">
        <f t="array" ref="AB202">VLOOKUP(ROW(199:199),S$4:T$153,2)</f>
        <v>0</v>
      </c>
      <c r="AD202" t="str">
        <f t="shared" si="173"/>
        <v/>
      </c>
      <c r="AE202" t="e">
        <f t="shared" si="182"/>
        <v>#N/A</v>
      </c>
      <c r="AF202" t="str">
        <f t="shared" si="174"/>
        <v/>
      </c>
      <c r="AG202" t="str">
        <f>_xlfn.XLOOKUP(AB202,'Order Page'!X$27:X$393,'Order Page'!C$27:C$393,"")</f>
        <v>Acorus Calamus</v>
      </c>
      <c r="AH202">
        <f t="shared" si="175"/>
        <v>0</v>
      </c>
      <c r="AI202">
        <f t="shared" si="176"/>
        <v>0</v>
      </c>
      <c r="AJ202">
        <f t="shared" si="188"/>
        <v>0</v>
      </c>
      <c r="AK202">
        <f t="shared" si="183"/>
        <v>0</v>
      </c>
      <c r="AL202">
        <f>IF(OR(AD201&amp;AF201&lt;&gt;AD202&amp;AF202,AK202&lt;AK201),AK201,0)+MAX(AL$4:AL201)</f>
        <v>0</v>
      </c>
      <c r="AM202">
        <f t="shared" si="184"/>
        <v>0</v>
      </c>
      <c r="AO202" s="25" t="str">
        <f t="shared" si="185"/>
        <v/>
      </c>
      <c r="AP202" s="25" t="str">
        <f t="shared" si="177"/>
        <v/>
      </c>
      <c r="AQ202" t="str">
        <f t="shared" si="186"/>
        <v/>
      </c>
      <c r="AR202" t="str">
        <f t="shared" si="178"/>
        <v/>
      </c>
      <c r="AS202">
        <f t="shared" si="179"/>
        <v>0</v>
      </c>
      <c r="AT202">
        <f t="shared" si="187"/>
        <v>0</v>
      </c>
      <c r="AU202" t="str">
        <f>_xlfn.XLOOKUP(AB202,'Order Page'!X$24:X$378,'Order Page'!B$24:B$378,0)</f>
        <v>x6</v>
      </c>
      <c r="AV202">
        <f>_xlfn.XLOOKUP(AB202,'Order Page'!X$24:X$378,'Order Page'!O$24:O$378,0)</f>
        <v>38</v>
      </c>
      <c r="AW202" s="264"/>
    </row>
    <row r="203" spans="1:49" x14ac:dyDescent="0.25">
      <c r="A203">
        <v>9</v>
      </c>
      <c r="B203">
        <f t="shared" si="180"/>
        <v>0</v>
      </c>
      <c r="C203">
        <f t="shared" si="170"/>
        <v>0</v>
      </c>
      <c r="D203" s="317">
        <f t="shared" si="171"/>
        <v>8.9999999999999993E-3</v>
      </c>
      <c r="E203">
        <v>8.9999999999999993E-3</v>
      </c>
      <c r="F203">
        <f t="shared" si="181"/>
        <v>0</v>
      </c>
      <c r="G203">
        <f t="shared" si="169"/>
        <v>0</v>
      </c>
      <c r="H203">
        <f t="shared" si="169"/>
        <v>0</v>
      </c>
      <c r="I203">
        <f t="shared" si="169"/>
        <v>0</v>
      </c>
      <c r="J203">
        <f t="shared" si="169"/>
        <v>0</v>
      </c>
      <c r="K203">
        <f t="shared" si="172"/>
        <v>0</v>
      </c>
      <c r="Z203" s="264"/>
      <c r="AA203">
        <v>200</v>
      </c>
      <c r="AB203" cm="1">
        <f t="array" ref="AB203">VLOOKUP(ROW(200:200),S$4:T$153,2)</f>
        <v>0</v>
      </c>
      <c r="AD203" t="str">
        <f t="shared" si="173"/>
        <v/>
      </c>
      <c r="AE203" t="e">
        <f t="shared" si="182"/>
        <v>#N/A</v>
      </c>
      <c r="AF203" t="str">
        <f t="shared" si="174"/>
        <v/>
      </c>
      <c r="AG203" t="str">
        <f>_xlfn.XLOOKUP(AB203,'Order Page'!X$27:X$393,'Order Page'!C$27:C$393,"")</f>
        <v>Acorus Calamus</v>
      </c>
      <c r="AH203">
        <f t="shared" si="175"/>
        <v>0</v>
      </c>
      <c r="AI203">
        <f t="shared" si="176"/>
        <v>0</v>
      </c>
      <c r="AJ203">
        <f t="shared" si="188"/>
        <v>0</v>
      </c>
      <c r="AK203">
        <f t="shared" si="183"/>
        <v>0</v>
      </c>
      <c r="AL203">
        <f>IF(OR(AD202&amp;AF202&lt;&gt;AD203&amp;AF203,AK203&lt;AK202),AK202,0)+MAX(AL$4:AL202)</f>
        <v>0</v>
      </c>
      <c r="AM203">
        <f t="shared" si="184"/>
        <v>0</v>
      </c>
      <c r="AO203" s="25" t="str">
        <f t="shared" si="185"/>
        <v/>
      </c>
      <c r="AP203" s="25" t="str">
        <f t="shared" si="177"/>
        <v/>
      </c>
      <c r="AQ203" t="str">
        <f t="shared" si="186"/>
        <v/>
      </c>
      <c r="AR203" t="str">
        <f t="shared" si="178"/>
        <v/>
      </c>
      <c r="AS203">
        <f t="shared" si="179"/>
        <v>0</v>
      </c>
      <c r="AT203">
        <f t="shared" si="187"/>
        <v>0</v>
      </c>
      <c r="AU203" t="str">
        <f>_xlfn.XLOOKUP(AB203,'Order Page'!X$24:X$378,'Order Page'!B$24:B$378,0)</f>
        <v>x6</v>
      </c>
      <c r="AV203">
        <f>_xlfn.XLOOKUP(AB203,'Order Page'!X$24:X$378,'Order Page'!O$24:O$378,0)</f>
        <v>38</v>
      </c>
      <c r="AW203" s="264"/>
    </row>
    <row r="204" spans="1:49" x14ac:dyDescent="0.25">
      <c r="A204">
        <v>10</v>
      </c>
      <c r="B204">
        <f t="shared" si="180"/>
        <v>0</v>
      </c>
      <c r="C204">
        <f t="shared" si="170"/>
        <v>0</v>
      </c>
      <c r="D204" s="317">
        <f t="shared" si="171"/>
        <v>0.01</v>
      </c>
      <c r="E204">
        <v>0.01</v>
      </c>
      <c r="F204">
        <f t="shared" si="181"/>
        <v>0</v>
      </c>
      <c r="G204">
        <f t="shared" si="169"/>
        <v>0</v>
      </c>
      <c r="H204">
        <f t="shared" si="169"/>
        <v>0</v>
      </c>
      <c r="I204">
        <f t="shared" si="169"/>
        <v>0</v>
      </c>
      <c r="J204">
        <f t="shared" si="169"/>
        <v>0</v>
      </c>
      <c r="K204">
        <f t="shared" si="172"/>
        <v>0</v>
      </c>
    </row>
    <row r="205" spans="1:49" x14ac:dyDescent="0.25">
      <c r="A205">
        <v>11</v>
      </c>
      <c r="B205">
        <f t="shared" si="180"/>
        <v>0</v>
      </c>
      <c r="C205">
        <f t="shared" si="170"/>
        <v>0</v>
      </c>
      <c r="D205" s="317">
        <f t="shared" si="171"/>
        <v>1.0999999999999999E-2</v>
      </c>
      <c r="E205">
        <v>1.0999999999999999E-2</v>
      </c>
      <c r="F205">
        <f t="shared" si="181"/>
        <v>0</v>
      </c>
      <c r="G205">
        <f t="shared" si="169"/>
        <v>0</v>
      </c>
      <c r="H205">
        <f t="shared" si="169"/>
        <v>0</v>
      </c>
      <c r="I205">
        <f t="shared" si="169"/>
        <v>0</v>
      </c>
      <c r="J205">
        <f t="shared" si="169"/>
        <v>0</v>
      </c>
      <c r="K205">
        <f t="shared" si="172"/>
        <v>0</v>
      </c>
    </row>
    <row r="206" spans="1:49" x14ac:dyDescent="0.25">
      <c r="A206">
        <v>12</v>
      </c>
      <c r="B206">
        <f t="shared" si="180"/>
        <v>0</v>
      </c>
      <c r="C206">
        <f t="shared" si="170"/>
        <v>0</v>
      </c>
      <c r="D206" s="317">
        <f t="shared" si="171"/>
        <v>1.2E-2</v>
      </c>
      <c r="E206">
        <v>1.2E-2</v>
      </c>
      <c r="F206">
        <f t="shared" si="181"/>
        <v>0</v>
      </c>
      <c r="G206">
        <f t="shared" si="169"/>
        <v>0</v>
      </c>
      <c r="H206">
        <f t="shared" si="169"/>
        <v>0</v>
      </c>
      <c r="I206">
        <f t="shared" si="169"/>
        <v>0</v>
      </c>
      <c r="J206">
        <f t="shared" si="169"/>
        <v>0</v>
      </c>
      <c r="K206">
        <f t="shared" si="172"/>
        <v>0</v>
      </c>
    </row>
    <row r="207" spans="1:49" x14ac:dyDescent="0.25">
      <c r="A207">
        <v>13</v>
      </c>
      <c r="B207">
        <f t="shared" si="180"/>
        <v>0</v>
      </c>
      <c r="C207">
        <f t="shared" si="170"/>
        <v>0</v>
      </c>
      <c r="D207" s="317">
        <f t="shared" si="171"/>
        <v>1.2999999999999999E-2</v>
      </c>
      <c r="E207">
        <v>1.2999999999999999E-2</v>
      </c>
      <c r="F207">
        <f t="shared" si="181"/>
        <v>0</v>
      </c>
      <c r="G207">
        <f t="shared" si="169"/>
        <v>0</v>
      </c>
      <c r="H207">
        <f t="shared" si="169"/>
        <v>0</v>
      </c>
      <c r="I207">
        <f t="shared" si="169"/>
        <v>0</v>
      </c>
      <c r="J207">
        <f t="shared" si="169"/>
        <v>0</v>
      </c>
      <c r="K207">
        <f t="shared" si="172"/>
        <v>0</v>
      </c>
    </row>
    <row r="208" spans="1:49" x14ac:dyDescent="0.25">
      <c r="A208">
        <v>14</v>
      </c>
      <c r="B208">
        <f t="shared" si="180"/>
        <v>0</v>
      </c>
      <c r="C208">
        <f t="shared" si="170"/>
        <v>0</v>
      </c>
      <c r="D208" s="317">
        <f t="shared" si="171"/>
        <v>1.4E-2</v>
      </c>
      <c r="E208">
        <v>1.4E-2</v>
      </c>
      <c r="F208">
        <f t="shared" si="181"/>
        <v>0</v>
      </c>
      <c r="G208">
        <f t="shared" si="169"/>
        <v>0</v>
      </c>
      <c r="H208">
        <f t="shared" si="169"/>
        <v>0</v>
      </c>
      <c r="I208">
        <f t="shared" si="169"/>
        <v>0</v>
      </c>
      <c r="J208">
        <f t="shared" si="169"/>
        <v>0</v>
      </c>
      <c r="K208">
        <f t="shared" si="172"/>
        <v>0</v>
      </c>
    </row>
    <row r="209" spans="1:11" x14ac:dyDescent="0.25">
      <c r="A209">
        <v>15</v>
      </c>
      <c r="B209">
        <f>COUNTIF(H$100:H$114,A209)+COUNTIF(H$119:H$133,A209)*2+COUNTIF(H$138:H$152,A209)*3+COUNTIF(H$157:H$171,A209)*4+COUNTIF(H$176:H$190,A209)*5+COUNTIF(C$84:C$87,A209)+COUNTIF(D$84:D$87,A209)*2+COUNTIF(E$84:E$87,A209)*3+COUNTIF(F$84:F$87,A209)*4+COUNTIF(G$84:G$87,A209)*5</f>
        <v>0</v>
      </c>
      <c r="C209">
        <f t="shared" si="170"/>
        <v>0</v>
      </c>
      <c r="D209" s="317">
        <f t="shared" si="171"/>
        <v>1.4999999999999999E-2</v>
      </c>
      <c r="E209">
        <v>1.4999999999999999E-2</v>
      </c>
      <c r="F209">
        <f t="shared" si="181"/>
        <v>0</v>
      </c>
      <c r="G209">
        <f t="shared" si="169"/>
        <v>0</v>
      </c>
      <c r="H209">
        <f t="shared" si="169"/>
        <v>0</v>
      </c>
      <c r="I209">
        <f t="shared" si="169"/>
        <v>0</v>
      </c>
      <c r="J209">
        <f t="shared" si="169"/>
        <v>0</v>
      </c>
      <c r="K209">
        <f t="shared" si="172"/>
        <v>0</v>
      </c>
    </row>
    <row r="210" spans="1:11" x14ac:dyDescent="0.25">
      <c r="A210">
        <v>16</v>
      </c>
      <c r="B210">
        <f>COUNTIF(H$100:H$114,A210)+COUNTIF(H$119:H$133,A210)*2+COUNTIF(H$138:H$152,A210)*3+COUNTIF(H$157:H$171,A210)*4+COUNTIF(H$176:H$190,A210)*5+COUNTIF(C$84:C$87,A210)+COUNTIF(D$84:D$87,A210)*2+COUNTIF(E$84:E$87,A210)*3+COUNTIF(F$84:F$87,A210)*4+COUNTIF(G$84:G$87,A210)*5</f>
        <v>0</v>
      </c>
      <c r="C210">
        <f t="shared" si="170"/>
        <v>0</v>
      </c>
      <c r="D210" s="317">
        <f t="shared" si="171"/>
        <v>1.6E-2</v>
      </c>
      <c r="E210">
        <v>1.6E-2</v>
      </c>
      <c r="F210">
        <f t="shared" si="181"/>
        <v>0</v>
      </c>
      <c r="G210">
        <f t="shared" si="169"/>
        <v>0</v>
      </c>
      <c r="H210">
        <f t="shared" si="169"/>
        <v>0</v>
      </c>
      <c r="I210">
        <f t="shared" si="169"/>
        <v>0</v>
      </c>
      <c r="J210">
        <f t="shared" si="169"/>
        <v>0</v>
      </c>
      <c r="K210">
        <f t="shared" si="172"/>
        <v>0</v>
      </c>
    </row>
    <row r="211" spans="1:11" x14ac:dyDescent="0.25">
      <c r="A211">
        <v>17</v>
      </c>
      <c r="B211">
        <f t="shared" ref="B211:B214" si="189">COUNTIF(H$100:H$114,A211)+COUNTIF(H$119:H$133,A211)*2+COUNTIF(H$138:H$152,A211)*3+COUNTIF(H$157:H$171,A211)*4+COUNTIF(H$176:H$190,A211)*5+COUNTIF(C$84:C$87,A211)+COUNTIF(D$84:D$87,A211)*2+COUNTIF(E$84:E$87,A211)*3+COUNTIF(F$84:F$87,A211)*4+COUNTIF(G$84:G$87,A211)*5</f>
        <v>0</v>
      </c>
      <c r="C211">
        <f t="shared" si="170"/>
        <v>0</v>
      </c>
      <c r="D211" s="317">
        <f t="shared" si="171"/>
        <v>1.7000000000000001E-2</v>
      </c>
      <c r="E211">
        <v>1.7000000000000001E-2</v>
      </c>
      <c r="F211">
        <f t="shared" si="181"/>
        <v>0</v>
      </c>
      <c r="G211">
        <f t="shared" si="181"/>
        <v>0</v>
      </c>
      <c r="H211">
        <f t="shared" si="181"/>
        <v>0</v>
      </c>
      <c r="I211">
        <f t="shared" si="181"/>
        <v>0</v>
      </c>
      <c r="J211">
        <f t="shared" si="181"/>
        <v>0</v>
      </c>
      <c r="K211">
        <f t="shared" si="172"/>
        <v>0</v>
      </c>
    </row>
    <row r="212" spans="1:11" x14ac:dyDescent="0.25">
      <c r="A212">
        <v>18</v>
      </c>
      <c r="B212">
        <f t="shared" si="189"/>
        <v>0</v>
      </c>
      <c r="C212">
        <f t="shared" si="170"/>
        <v>0</v>
      </c>
      <c r="D212" s="317">
        <f t="shared" si="171"/>
        <v>1.7999999999999999E-2</v>
      </c>
      <c r="E212">
        <v>1.7999999999999999E-2</v>
      </c>
      <c r="F212">
        <f t="shared" si="181"/>
        <v>0</v>
      </c>
      <c r="G212">
        <f t="shared" si="181"/>
        <v>0</v>
      </c>
      <c r="H212">
        <f t="shared" si="181"/>
        <v>0</v>
      </c>
      <c r="I212">
        <f t="shared" si="181"/>
        <v>0</v>
      </c>
      <c r="J212">
        <f t="shared" si="181"/>
        <v>0</v>
      </c>
      <c r="K212">
        <f t="shared" si="172"/>
        <v>0</v>
      </c>
    </row>
    <row r="213" spans="1:11" x14ac:dyDescent="0.25">
      <c r="A213">
        <v>19</v>
      </c>
      <c r="B213">
        <f t="shared" si="189"/>
        <v>0</v>
      </c>
      <c r="C213">
        <f t="shared" si="170"/>
        <v>0</v>
      </c>
      <c r="D213" s="317">
        <f t="shared" si="171"/>
        <v>1.9E-2</v>
      </c>
      <c r="E213">
        <v>1.9E-2</v>
      </c>
      <c r="F213">
        <f t="shared" si="181"/>
        <v>0</v>
      </c>
      <c r="G213">
        <f t="shared" si="181"/>
        <v>0</v>
      </c>
      <c r="H213">
        <f t="shared" si="181"/>
        <v>0</v>
      </c>
      <c r="I213">
        <f t="shared" si="181"/>
        <v>0</v>
      </c>
      <c r="J213">
        <f t="shared" si="181"/>
        <v>0</v>
      </c>
      <c r="K213">
        <f t="shared" si="172"/>
        <v>0</v>
      </c>
    </row>
    <row r="214" spans="1:11" x14ac:dyDescent="0.25">
      <c r="A214">
        <v>20</v>
      </c>
      <c r="B214">
        <f t="shared" si="189"/>
        <v>0</v>
      </c>
      <c r="C214">
        <f t="shared" si="170"/>
        <v>0</v>
      </c>
      <c r="D214" s="317">
        <f t="shared" si="171"/>
        <v>0.02</v>
      </c>
      <c r="E214">
        <v>0.02</v>
      </c>
      <c r="F214">
        <f t="shared" si="181"/>
        <v>0</v>
      </c>
      <c r="G214">
        <f t="shared" si="181"/>
        <v>0</v>
      </c>
      <c r="H214">
        <f t="shared" si="181"/>
        <v>0</v>
      </c>
      <c r="I214">
        <f t="shared" si="181"/>
        <v>0</v>
      </c>
      <c r="J214">
        <f t="shared" si="181"/>
        <v>0</v>
      </c>
      <c r="K214">
        <f t="shared" si="172"/>
        <v>0</v>
      </c>
    </row>
    <row r="217" spans="1:11" x14ac:dyDescent="0.25">
      <c r="A217" t="s">
        <v>665</v>
      </c>
      <c r="B217">
        <v>1</v>
      </c>
      <c r="C217">
        <v>2</v>
      </c>
      <c r="D217">
        <v>3</v>
      </c>
      <c r="E217">
        <v>4</v>
      </c>
      <c r="F217">
        <v>5</v>
      </c>
    </row>
    <row r="218" spans="1:11" x14ac:dyDescent="0.25">
      <c r="A218">
        <v>1</v>
      </c>
      <c r="B218">
        <f t="shared" ref="B218:B237" si="190">IF(F195&gt;0,RANK(F195,F$195:F$214),0)</f>
        <v>0</v>
      </c>
      <c r="C218">
        <f t="shared" ref="C218:F233" si="191">IF(G195&gt;0,RANK(G195,G$195:G$214),0)</f>
        <v>0</v>
      </c>
      <c r="D218">
        <f t="shared" si="191"/>
        <v>0</v>
      </c>
      <c r="E218">
        <f t="shared" si="191"/>
        <v>0</v>
      </c>
      <c r="F218">
        <f t="shared" si="191"/>
        <v>0</v>
      </c>
      <c r="H218">
        <f>SUM(B218:F218)+IF(B218&gt;0,10,IF(C218&gt;0,20,IF(D218&gt;0,30,IF(E218&gt;0,40,IF(F218&gt;0,50,0)))))</f>
        <v>0</v>
      </c>
      <c r="I218">
        <f>IF(H218&gt;0,H218-1,0)</f>
        <v>0</v>
      </c>
    </row>
    <row r="219" spans="1:11" x14ac:dyDescent="0.25">
      <c r="A219">
        <v>2</v>
      </c>
      <c r="B219">
        <f t="shared" si="190"/>
        <v>0</v>
      </c>
      <c r="C219">
        <f t="shared" si="191"/>
        <v>0</v>
      </c>
      <c r="D219">
        <f t="shared" si="191"/>
        <v>0</v>
      </c>
      <c r="E219">
        <f t="shared" si="191"/>
        <v>0</v>
      </c>
      <c r="F219">
        <f>IF(J196&gt;0,RANK(J196,J$195:J$214),0)</f>
        <v>0</v>
      </c>
      <c r="H219">
        <f>SUM(B219:F219)+IF(B219&gt;0,10,IF(C219&gt;0,20,IF(D219&gt;0,30,IF(E219&gt;0,40,IF(F219&gt;0,50,0)))))</f>
        <v>0</v>
      </c>
      <c r="I219">
        <f t="shared" ref="I219:I237" si="192">IF(H219&gt;0,H219-1,0)</f>
        <v>0</v>
      </c>
    </row>
    <row r="220" spans="1:11" x14ac:dyDescent="0.25">
      <c r="A220">
        <v>3</v>
      </c>
      <c r="B220">
        <f t="shared" si="190"/>
        <v>0</v>
      </c>
      <c r="C220">
        <f t="shared" si="191"/>
        <v>0</v>
      </c>
      <c r="D220">
        <f t="shared" si="191"/>
        <v>0</v>
      </c>
      <c r="E220">
        <f t="shared" si="191"/>
        <v>0</v>
      </c>
      <c r="F220">
        <f t="shared" si="191"/>
        <v>0</v>
      </c>
      <c r="H220">
        <f t="shared" ref="H220:H237" si="193">SUM(B220:F220)+IF(B220&gt;0,10,IF(C220&gt;0,20,IF(D220&gt;0,30,IF(E220&gt;0,40,IF(F220&gt;0,50,0)))))</f>
        <v>0</v>
      </c>
      <c r="I220">
        <f t="shared" si="192"/>
        <v>0</v>
      </c>
    </row>
    <row r="221" spans="1:11" x14ac:dyDescent="0.25">
      <c r="A221">
        <v>4</v>
      </c>
      <c r="B221">
        <f t="shared" si="190"/>
        <v>0</v>
      </c>
      <c r="C221">
        <f t="shared" si="191"/>
        <v>0</v>
      </c>
      <c r="D221">
        <f t="shared" si="191"/>
        <v>0</v>
      </c>
      <c r="E221">
        <f t="shared" si="191"/>
        <v>0</v>
      </c>
      <c r="F221">
        <f t="shared" si="191"/>
        <v>0</v>
      </c>
      <c r="H221">
        <f t="shared" si="193"/>
        <v>0</v>
      </c>
      <c r="I221">
        <f t="shared" si="192"/>
        <v>0</v>
      </c>
    </row>
    <row r="222" spans="1:11" x14ac:dyDescent="0.25">
      <c r="A222">
        <v>5</v>
      </c>
      <c r="B222">
        <f t="shared" si="190"/>
        <v>0</v>
      </c>
      <c r="C222">
        <f t="shared" si="191"/>
        <v>0</v>
      </c>
      <c r="D222">
        <f t="shared" si="191"/>
        <v>0</v>
      </c>
      <c r="E222">
        <f t="shared" si="191"/>
        <v>0</v>
      </c>
      <c r="F222">
        <f t="shared" si="191"/>
        <v>0</v>
      </c>
      <c r="H222">
        <f t="shared" si="193"/>
        <v>0</v>
      </c>
      <c r="I222">
        <f t="shared" si="192"/>
        <v>0</v>
      </c>
    </row>
    <row r="223" spans="1:11" x14ac:dyDescent="0.25">
      <c r="A223">
        <v>6</v>
      </c>
      <c r="B223">
        <f>IF(F200&gt;0,RANK(F200,F$195:F$214),0)</f>
        <v>0</v>
      </c>
      <c r="C223">
        <f t="shared" si="191"/>
        <v>0</v>
      </c>
      <c r="D223">
        <f>IF(H200&gt;0,RANK(H200,H$195:H$214),0)</f>
        <v>0</v>
      </c>
      <c r="E223">
        <f t="shared" si="191"/>
        <v>0</v>
      </c>
      <c r="F223">
        <f t="shared" si="191"/>
        <v>0</v>
      </c>
      <c r="H223">
        <f t="shared" si="193"/>
        <v>0</v>
      </c>
      <c r="I223">
        <f t="shared" si="192"/>
        <v>0</v>
      </c>
    </row>
    <row r="224" spans="1:11" x14ac:dyDescent="0.25">
      <c r="A224">
        <v>7</v>
      </c>
      <c r="B224">
        <f t="shared" si="190"/>
        <v>0</v>
      </c>
      <c r="C224">
        <f t="shared" si="191"/>
        <v>0</v>
      </c>
      <c r="D224">
        <f t="shared" si="191"/>
        <v>0</v>
      </c>
      <c r="E224">
        <f t="shared" si="191"/>
        <v>0</v>
      </c>
      <c r="F224">
        <f t="shared" si="191"/>
        <v>0</v>
      </c>
      <c r="H224">
        <f t="shared" si="193"/>
        <v>0</v>
      </c>
      <c r="I224">
        <f t="shared" si="192"/>
        <v>0</v>
      </c>
    </row>
    <row r="225" spans="1:9" x14ac:dyDescent="0.25">
      <c r="A225">
        <v>8</v>
      </c>
      <c r="B225">
        <f t="shared" si="190"/>
        <v>0</v>
      </c>
      <c r="C225">
        <f t="shared" si="191"/>
        <v>0</v>
      </c>
      <c r="D225">
        <f t="shared" si="191"/>
        <v>0</v>
      </c>
      <c r="E225">
        <f t="shared" si="191"/>
        <v>0</v>
      </c>
      <c r="F225">
        <f t="shared" si="191"/>
        <v>0</v>
      </c>
      <c r="H225">
        <f t="shared" si="193"/>
        <v>0</v>
      </c>
      <c r="I225">
        <f t="shared" si="192"/>
        <v>0</v>
      </c>
    </row>
    <row r="226" spans="1:9" x14ac:dyDescent="0.25">
      <c r="A226">
        <v>9</v>
      </c>
      <c r="B226">
        <f t="shared" si="190"/>
        <v>0</v>
      </c>
      <c r="C226">
        <f t="shared" si="191"/>
        <v>0</v>
      </c>
      <c r="D226">
        <f t="shared" si="191"/>
        <v>0</v>
      </c>
      <c r="E226">
        <f t="shared" si="191"/>
        <v>0</v>
      </c>
      <c r="F226">
        <f t="shared" si="191"/>
        <v>0</v>
      </c>
      <c r="H226">
        <f t="shared" si="193"/>
        <v>0</v>
      </c>
      <c r="I226">
        <f t="shared" si="192"/>
        <v>0</v>
      </c>
    </row>
    <row r="227" spans="1:9" x14ac:dyDescent="0.25">
      <c r="A227">
        <v>10</v>
      </c>
      <c r="B227">
        <f t="shared" si="190"/>
        <v>0</v>
      </c>
      <c r="C227">
        <f t="shared" si="191"/>
        <v>0</v>
      </c>
      <c r="D227">
        <f t="shared" si="191"/>
        <v>0</v>
      </c>
      <c r="E227">
        <f t="shared" si="191"/>
        <v>0</v>
      </c>
      <c r="F227">
        <f t="shared" si="191"/>
        <v>0</v>
      </c>
      <c r="H227">
        <f t="shared" si="193"/>
        <v>0</v>
      </c>
      <c r="I227">
        <f t="shared" si="192"/>
        <v>0</v>
      </c>
    </row>
    <row r="228" spans="1:9" x14ac:dyDescent="0.25">
      <c r="A228">
        <v>11</v>
      </c>
      <c r="B228">
        <f t="shared" si="190"/>
        <v>0</v>
      </c>
      <c r="C228">
        <f t="shared" si="191"/>
        <v>0</v>
      </c>
      <c r="D228">
        <f t="shared" si="191"/>
        <v>0</v>
      </c>
      <c r="E228">
        <f t="shared" si="191"/>
        <v>0</v>
      </c>
      <c r="F228">
        <f t="shared" si="191"/>
        <v>0</v>
      </c>
      <c r="H228">
        <f t="shared" si="193"/>
        <v>0</v>
      </c>
      <c r="I228">
        <f t="shared" si="192"/>
        <v>0</v>
      </c>
    </row>
    <row r="229" spans="1:9" x14ac:dyDescent="0.25">
      <c r="A229">
        <v>12</v>
      </c>
      <c r="B229">
        <f t="shared" si="190"/>
        <v>0</v>
      </c>
      <c r="C229">
        <f t="shared" si="191"/>
        <v>0</v>
      </c>
      <c r="D229">
        <f t="shared" si="191"/>
        <v>0</v>
      </c>
      <c r="E229">
        <f t="shared" si="191"/>
        <v>0</v>
      </c>
      <c r="F229">
        <f t="shared" si="191"/>
        <v>0</v>
      </c>
      <c r="H229">
        <f t="shared" si="193"/>
        <v>0</v>
      </c>
      <c r="I229">
        <f t="shared" si="192"/>
        <v>0</v>
      </c>
    </row>
    <row r="230" spans="1:9" x14ac:dyDescent="0.25">
      <c r="A230">
        <v>13</v>
      </c>
      <c r="B230">
        <f t="shared" si="190"/>
        <v>0</v>
      </c>
      <c r="C230">
        <f t="shared" si="191"/>
        <v>0</v>
      </c>
      <c r="D230">
        <f t="shared" si="191"/>
        <v>0</v>
      </c>
      <c r="E230">
        <f t="shared" si="191"/>
        <v>0</v>
      </c>
      <c r="F230">
        <f t="shared" si="191"/>
        <v>0</v>
      </c>
      <c r="H230">
        <f t="shared" si="193"/>
        <v>0</v>
      </c>
      <c r="I230">
        <f t="shared" si="192"/>
        <v>0</v>
      </c>
    </row>
    <row r="231" spans="1:9" x14ac:dyDescent="0.25">
      <c r="A231">
        <v>14</v>
      </c>
      <c r="B231">
        <f t="shared" si="190"/>
        <v>0</v>
      </c>
      <c r="C231">
        <f t="shared" si="191"/>
        <v>0</v>
      </c>
      <c r="D231">
        <f t="shared" si="191"/>
        <v>0</v>
      </c>
      <c r="E231">
        <f t="shared" si="191"/>
        <v>0</v>
      </c>
      <c r="F231">
        <f t="shared" si="191"/>
        <v>0</v>
      </c>
      <c r="H231">
        <f t="shared" si="193"/>
        <v>0</v>
      </c>
      <c r="I231">
        <f t="shared" si="192"/>
        <v>0</v>
      </c>
    </row>
    <row r="232" spans="1:9" x14ac:dyDescent="0.25">
      <c r="A232">
        <v>15</v>
      </c>
      <c r="B232">
        <f t="shared" si="190"/>
        <v>0</v>
      </c>
      <c r="C232">
        <f t="shared" si="191"/>
        <v>0</v>
      </c>
      <c r="D232">
        <f t="shared" si="191"/>
        <v>0</v>
      </c>
      <c r="E232">
        <f t="shared" si="191"/>
        <v>0</v>
      </c>
      <c r="F232">
        <f t="shared" si="191"/>
        <v>0</v>
      </c>
      <c r="H232">
        <f t="shared" si="193"/>
        <v>0</v>
      </c>
      <c r="I232">
        <f t="shared" si="192"/>
        <v>0</v>
      </c>
    </row>
    <row r="233" spans="1:9" x14ac:dyDescent="0.25">
      <c r="A233">
        <v>16</v>
      </c>
      <c r="B233">
        <f t="shared" si="190"/>
        <v>0</v>
      </c>
      <c r="C233">
        <f t="shared" si="191"/>
        <v>0</v>
      </c>
      <c r="D233">
        <f t="shared" si="191"/>
        <v>0</v>
      </c>
      <c r="E233">
        <f t="shared" si="191"/>
        <v>0</v>
      </c>
      <c r="F233">
        <f t="shared" si="191"/>
        <v>0</v>
      </c>
      <c r="H233">
        <f t="shared" si="193"/>
        <v>0</v>
      </c>
      <c r="I233">
        <f t="shared" si="192"/>
        <v>0</v>
      </c>
    </row>
    <row r="234" spans="1:9" x14ac:dyDescent="0.25">
      <c r="A234">
        <v>17</v>
      </c>
      <c r="B234">
        <f t="shared" si="190"/>
        <v>0</v>
      </c>
      <c r="C234">
        <f t="shared" ref="C234:C237" si="194">IF(G211&gt;0,RANK(G211,G$195:G$214),0)</f>
        <v>0</v>
      </c>
      <c r="D234">
        <f t="shared" ref="D234:D237" si="195">IF(H211&gt;0,RANK(H211,H$195:H$214),0)</f>
        <v>0</v>
      </c>
      <c r="E234">
        <f t="shared" ref="E234:E237" si="196">IF(I211&gt;0,RANK(I211,I$195:I$214),0)</f>
        <v>0</v>
      </c>
      <c r="F234">
        <f t="shared" ref="F234:F237" si="197">IF(J211&gt;0,RANK(J211,J$195:J$214),0)</f>
        <v>0</v>
      </c>
      <c r="H234">
        <f t="shared" si="193"/>
        <v>0</v>
      </c>
      <c r="I234">
        <f t="shared" si="192"/>
        <v>0</v>
      </c>
    </row>
    <row r="235" spans="1:9" x14ac:dyDescent="0.25">
      <c r="A235">
        <v>18</v>
      </c>
      <c r="B235">
        <f t="shared" si="190"/>
        <v>0</v>
      </c>
      <c r="C235">
        <f t="shared" si="194"/>
        <v>0</v>
      </c>
      <c r="D235">
        <f t="shared" si="195"/>
        <v>0</v>
      </c>
      <c r="E235">
        <f t="shared" si="196"/>
        <v>0</v>
      </c>
      <c r="F235">
        <f t="shared" si="197"/>
        <v>0</v>
      </c>
      <c r="H235">
        <f t="shared" si="193"/>
        <v>0</v>
      </c>
      <c r="I235">
        <f t="shared" si="192"/>
        <v>0</v>
      </c>
    </row>
    <row r="236" spans="1:9" x14ac:dyDescent="0.25">
      <c r="A236">
        <v>19</v>
      </c>
      <c r="B236">
        <f t="shared" si="190"/>
        <v>0</v>
      </c>
      <c r="C236">
        <f t="shared" si="194"/>
        <v>0</v>
      </c>
      <c r="D236">
        <f t="shared" si="195"/>
        <v>0</v>
      </c>
      <c r="E236">
        <f t="shared" si="196"/>
        <v>0</v>
      </c>
      <c r="F236">
        <f t="shared" si="197"/>
        <v>0</v>
      </c>
      <c r="H236">
        <f t="shared" si="193"/>
        <v>0</v>
      </c>
      <c r="I236">
        <f t="shared" si="192"/>
        <v>0</v>
      </c>
    </row>
    <row r="237" spans="1:9" x14ac:dyDescent="0.25">
      <c r="A237">
        <v>20</v>
      </c>
      <c r="B237">
        <f t="shared" si="190"/>
        <v>0</v>
      </c>
      <c r="C237">
        <f t="shared" si="194"/>
        <v>0</v>
      </c>
      <c r="D237">
        <f t="shared" si="195"/>
        <v>0</v>
      </c>
      <c r="E237">
        <f t="shared" si="196"/>
        <v>0</v>
      </c>
      <c r="F237">
        <f t="shared" si="197"/>
        <v>0</v>
      </c>
      <c r="H237">
        <f t="shared" si="193"/>
        <v>0</v>
      </c>
      <c r="I237">
        <f t="shared" si="192"/>
        <v>0</v>
      </c>
    </row>
    <row r="239" spans="1:9" x14ac:dyDescent="0.25">
      <c r="A239" t="s">
        <v>570</v>
      </c>
      <c r="B239">
        <f>SUMIF($B195:$B214,B217,$D195:$D214)</f>
        <v>0</v>
      </c>
      <c r="C239">
        <f t="shared" ref="C239:F239" si="198">SUMIF($B195:$B214,C217,$D195:$D214)</f>
        <v>0</v>
      </c>
      <c r="D239">
        <f t="shared" si="198"/>
        <v>0</v>
      </c>
      <c r="E239">
        <f t="shared" si="198"/>
        <v>0</v>
      </c>
      <c r="F239">
        <f t="shared" si="198"/>
        <v>0</v>
      </c>
    </row>
    <row r="241" spans="1:6" x14ac:dyDescent="0.25">
      <c r="B241">
        <v>1</v>
      </c>
      <c r="C241">
        <v>2</v>
      </c>
      <c r="D241">
        <v>3</v>
      </c>
      <c r="E241">
        <v>4</v>
      </c>
      <c r="F241">
        <v>5</v>
      </c>
    </row>
    <row r="242" spans="1:6" x14ac:dyDescent="0.25">
      <c r="A242">
        <v>1</v>
      </c>
      <c r="B242">
        <f>_xlfn.XLOOKUP(B$241*10+$A242,$H$218:$H$237,$A$218:$A$237,0)</f>
        <v>0</v>
      </c>
      <c r="C242">
        <f t="shared" ref="C242:F248" si="199">_xlfn.XLOOKUP(C$241*10+$A242,$H$218:$H$237,$A$218:$A$237,0)</f>
        <v>0</v>
      </c>
      <c r="D242">
        <f t="shared" si="199"/>
        <v>0</v>
      </c>
      <c r="E242">
        <f t="shared" si="199"/>
        <v>0</v>
      </c>
      <c r="F242">
        <f>_xlfn.XLOOKUP(F$241*10+$A242,$H$218:$H$237,$A$218:$A$237,0)</f>
        <v>0</v>
      </c>
    </row>
    <row r="243" spans="1:6" x14ac:dyDescent="0.25">
      <c r="A243">
        <v>2</v>
      </c>
      <c r="B243">
        <f t="shared" ref="B243:B248" si="200">_xlfn.XLOOKUP(B$241*10+$A243,$H$218:$H$237,$A$218:$A$237,0)</f>
        <v>0</v>
      </c>
      <c r="C243">
        <f t="shared" si="199"/>
        <v>0</v>
      </c>
      <c r="D243">
        <f t="shared" si="199"/>
        <v>0</v>
      </c>
      <c r="E243">
        <f t="shared" si="199"/>
        <v>0</v>
      </c>
      <c r="F243">
        <f t="shared" si="199"/>
        <v>0</v>
      </c>
    </row>
    <row r="244" spans="1:6" x14ac:dyDescent="0.25">
      <c r="A244">
        <v>3</v>
      </c>
      <c r="B244">
        <f t="shared" si="200"/>
        <v>0</v>
      </c>
      <c r="C244">
        <f t="shared" si="199"/>
        <v>0</v>
      </c>
      <c r="D244">
        <f t="shared" si="199"/>
        <v>0</v>
      </c>
      <c r="E244">
        <f t="shared" si="199"/>
        <v>0</v>
      </c>
      <c r="F244">
        <f t="shared" si="199"/>
        <v>0</v>
      </c>
    </row>
    <row r="245" spans="1:6" x14ac:dyDescent="0.25">
      <c r="A245">
        <v>4</v>
      </c>
      <c r="B245">
        <f>_xlfn.XLOOKUP(B$241*10+$A245,$H$218:$H$237,$A$218:$A$237,0)</f>
        <v>0</v>
      </c>
      <c r="C245">
        <f t="shared" si="199"/>
        <v>0</v>
      </c>
      <c r="D245">
        <f t="shared" si="199"/>
        <v>0</v>
      </c>
      <c r="E245">
        <f t="shared" si="199"/>
        <v>0</v>
      </c>
      <c r="F245">
        <f t="shared" si="199"/>
        <v>0</v>
      </c>
    </row>
    <row r="246" spans="1:6" x14ac:dyDescent="0.25">
      <c r="A246">
        <v>5</v>
      </c>
      <c r="B246">
        <f t="shared" si="200"/>
        <v>0</v>
      </c>
      <c r="C246">
        <f t="shared" si="199"/>
        <v>0</v>
      </c>
      <c r="D246">
        <f t="shared" si="199"/>
        <v>0</v>
      </c>
      <c r="E246">
        <f t="shared" si="199"/>
        <v>0</v>
      </c>
      <c r="F246">
        <f t="shared" si="199"/>
        <v>0</v>
      </c>
    </row>
    <row r="247" spans="1:6" x14ac:dyDescent="0.25">
      <c r="A247">
        <v>6</v>
      </c>
      <c r="B247">
        <f>_xlfn.XLOOKUP(B$241*10+$A247,$H$218:$H$237,$A$218:$A$237,0)</f>
        <v>0</v>
      </c>
      <c r="C247">
        <f t="shared" si="199"/>
        <v>0</v>
      </c>
      <c r="D247">
        <f t="shared" si="199"/>
        <v>0</v>
      </c>
      <c r="E247">
        <f t="shared" si="199"/>
        <v>0</v>
      </c>
      <c r="F247">
        <f t="shared" si="199"/>
        <v>0</v>
      </c>
    </row>
    <row r="248" spans="1:6" x14ac:dyDescent="0.25">
      <c r="A248">
        <v>7</v>
      </c>
      <c r="B248">
        <f t="shared" si="200"/>
        <v>0</v>
      </c>
      <c r="C248">
        <f t="shared" si="199"/>
        <v>0</v>
      </c>
      <c r="D248">
        <f t="shared" si="199"/>
        <v>0</v>
      </c>
      <c r="E248">
        <f t="shared" si="199"/>
        <v>0</v>
      </c>
      <c r="F248">
        <f t="shared" si="199"/>
        <v>0</v>
      </c>
    </row>
    <row r="250" spans="1:6" x14ac:dyDescent="0.25">
      <c r="A250" t="s">
        <v>721</v>
      </c>
      <c r="B250">
        <v>1</v>
      </c>
      <c r="C250">
        <v>2</v>
      </c>
      <c r="D250">
        <v>3</v>
      </c>
      <c r="E250">
        <v>4</v>
      </c>
      <c r="F250">
        <v>5</v>
      </c>
    </row>
    <row r="251" spans="1:6" x14ac:dyDescent="0.25">
      <c r="A251">
        <v>1</v>
      </c>
      <c r="B251">
        <f>_xlfn.XLOOKUP(B242,$B$61:$B$80,$C$61:$C$80,0)</f>
        <v>0</v>
      </c>
      <c r="C251">
        <f t="shared" ref="C251:E251" si="201">_xlfn.XLOOKUP(C242,$B$61:$B$80,$C$61:$C$80,0)</f>
        <v>0</v>
      </c>
      <c r="D251">
        <f t="shared" si="201"/>
        <v>0</v>
      </c>
      <c r="E251">
        <f t="shared" si="201"/>
        <v>0</v>
      </c>
      <c r="F251">
        <f>_xlfn.XLOOKUP(F242,$B$61:$B$80,$C$61:$C$80,0)</f>
        <v>0</v>
      </c>
    </row>
    <row r="252" spans="1:6" x14ac:dyDescent="0.25">
      <c r="A252">
        <v>2</v>
      </c>
      <c r="B252">
        <f t="shared" ref="B252:F252" si="202">_xlfn.XLOOKUP(B243,$B$61:$B$80,$C$61:$C$80,0)</f>
        <v>0</v>
      </c>
      <c r="C252">
        <f t="shared" si="202"/>
        <v>0</v>
      </c>
      <c r="D252">
        <f t="shared" si="202"/>
        <v>0</v>
      </c>
      <c r="E252">
        <f t="shared" si="202"/>
        <v>0</v>
      </c>
      <c r="F252">
        <f t="shared" si="202"/>
        <v>0</v>
      </c>
    </row>
    <row r="253" spans="1:6" x14ac:dyDescent="0.25">
      <c r="A253">
        <v>3</v>
      </c>
      <c r="B253">
        <f t="shared" ref="B253:F253" si="203">_xlfn.XLOOKUP(B244,$B$61:$B$80,$C$61:$C$80,0)</f>
        <v>0</v>
      </c>
      <c r="C253">
        <f t="shared" si="203"/>
        <v>0</v>
      </c>
      <c r="D253">
        <f t="shared" si="203"/>
        <v>0</v>
      </c>
      <c r="E253">
        <f t="shared" si="203"/>
        <v>0</v>
      </c>
      <c r="F253">
        <f t="shared" si="203"/>
        <v>0</v>
      </c>
    </row>
    <row r="254" spans="1:6" x14ac:dyDescent="0.25">
      <c r="A254">
        <v>4</v>
      </c>
      <c r="B254">
        <f t="shared" ref="B254:F254" si="204">_xlfn.XLOOKUP(B245,$B$61:$B$80,$C$61:$C$80,0)</f>
        <v>0</v>
      </c>
      <c r="C254">
        <f t="shared" si="204"/>
        <v>0</v>
      </c>
      <c r="D254">
        <f t="shared" si="204"/>
        <v>0</v>
      </c>
      <c r="E254">
        <f t="shared" si="204"/>
        <v>0</v>
      </c>
      <c r="F254">
        <f t="shared" si="204"/>
        <v>0</v>
      </c>
    </row>
    <row r="255" spans="1:6" x14ac:dyDescent="0.25">
      <c r="A255">
        <v>5</v>
      </c>
      <c r="B255">
        <f t="shared" ref="B255:F255" si="205">_xlfn.XLOOKUP(B246,$B$61:$B$80,$C$61:$C$80,0)</f>
        <v>0</v>
      </c>
      <c r="C255">
        <f t="shared" si="205"/>
        <v>0</v>
      </c>
      <c r="D255">
        <f t="shared" si="205"/>
        <v>0</v>
      </c>
      <c r="E255">
        <f t="shared" si="205"/>
        <v>0</v>
      </c>
      <c r="F255">
        <f t="shared" si="205"/>
        <v>0</v>
      </c>
    </row>
    <row r="256" spans="1:6" x14ac:dyDescent="0.25">
      <c r="A256">
        <v>6</v>
      </c>
      <c r="B256">
        <f>_xlfn.XLOOKUP(B247,$B$61:$B$80,$C$61:$C$80,0)</f>
        <v>0</v>
      </c>
      <c r="C256">
        <f t="shared" ref="C256:F256" si="206">_xlfn.XLOOKUP(C247,$B$61:$B$80,$C$61:$C$80,0)</f>
        <v>0</v>
      </c>
      <c r="D256">
        <f t="shared" si="206"/>
        <v>0</v>
      </c>
      <c r="E256">
        <f t="shared" si="206"/>
        <v>0</v>
      </c>
      <c r="F256">
        <f t="shared" si="206"/>
        <v>0</v>
      </c>
    </row>
    <row r="257" spans="1:6" x14ac:dyDescent="0.25">
      <c r="A257">
        <v>7</v>
      </c>
      <c r="B257">
        <f t="shared" ref="B257:F257" si="207">_xlfn.XLOOKUP(B248,$B$61:$B$80,$C$61:$C$80,0)</f>
        <v>0</v>
      </c>
      <c r="C257">
        <f t="shared" si="207"/>
        <v>0</v>
      </c>
      <c r="D257">
        <f t="shared" si="207"/>
        <v>0</v>
      </c>
      <c r="E257">
        <f t="shared" si="207"/>
        <v>0</v>
      </c>
      <c r="F257">
        <f t="shared" si="207"/>
        <v>0</v>
      </c>
    </row>
    <row r="259" spans="1:6" x14ac:dyDescent="0.25">
      <c r="A259" t="s">
        <v>717</v>
      </c>
      <c r="B259">
        <f>SUMIF($B195:$B214,B250,$D195:$D214)</f>
        <v>0</v>
      </c>
      <c r="C259">
        <f t="shared" ref="C259:F259" si="208">SUMIF($B195:$B214,C250,$D195:$D214)</f>
        <v>0</v>
      </c>
      <c r="D259">
        <f t="shared" si="208"/>
        <v>0</v>
      </c>
      <c r="E259">
        <f t="shared" si="208"/>
        <v>0</v>
      </c>
      <c r="F259">
        <f t="shared" si="208"/>
        <v>0</v>
      </c>
    </row>
    <row r="260" spans="1:6" x14ac:dyDescent="0.25">
      <c r="B260">
        <f>IF(B259&gt;0,B259+34,0)</f>
        <v>0</v>
      </c>
      <c r="C260">
        <f t="shared" ref="C260:F260" si="209">IF(C259&gt;0,C259+34,0)</f>
        <v>0</v>
      </c>
      <c r="D260">
        <f t="shared" si="209"/>
        <v>0</v>
      </c>
      <c r="E260">
        <f t="shared" si="209"/>
        <v>0</v>
      </c>
      <c r="F260">
        <f t="shared" si="209"/>
        <v>0</v>
      </c>
    </row>
    <row r="262" spans="1:6" x14ac:dyDescent="0.25">
      <c r="A262" t="s">
        <v>961</v>
      </c>
    </row>
    <row r="263" spans="1:6" x14ac:dyDescent="0.25">
      <c r="A263">
        <v>1</v>
      </c>
      <c r="B263">
        <f>_xlfn.XLOOKUP(B242,$A$195:$A$214,$K$195:$K$214,0)</f>
        <v>0</v>
      </c>
      <c r="C263">
        <f t="shared" ref="C263:F263" si="210">_xlfn.XLOOKUP(C242,$A$195:$A$214,$K$195:$K$214,0)</f>
        <v>0</v>
      </c>
      <c r="D263">
        <f t="shared" si="210"/>
        <v>0</v>
      </c>
      <c r="E263">
        <f t="shared" si="210"/>
        <v>0</v>
      </c>
      <c r="F263">
        <f t="shared" si="210"/>
        <v>0</v>
      </c>
    </row>
    <row r="264" spans="1:6" x14ac:dyDescent="0.25">
      <c r="A264">
        <v>2</v>
      </c>
      <c r="B264">
        <f t="shared" ref="B264:F269" si="211">_xlfn.XLOOKUP(B243,$A$195:$A$214,$K$195:$K$214,0)</f>
        <v>0</v>
      </c>
      <c r="C264">
        <f t="shared" si="211"/>
        <v>0</v>
      </c>
      <c r="D264">
        <f t="shared" si="211"/>
        <v>0</v>
      </c>
      <c r="E264">
        <f t="shared" si="211"/>
        <v>0</v>
      </c>
      <c r="F264">
        <f t="shared" si="211"/>
        <v>0</v>
      </c>
    </row>
    <row r="265" spans="1:6" x14ac:dyDescent="0.25">
      <c r="A265">
        <v>3</v>
      </c>
      <c r="B265">
        <f t="shared" si="211"/>
        <v>0</v>
      </c>
      <c r="C265">
        <f t="shared" si="211"/>
        <v>0</v>
      </c>
      <c r="D265">
        <f t="shared" si="211"/>
        <v>0</v>
      </c>
      <c r="E265">
        <f t="shared" si="211"/>
        <v>0</v>
      </c>
      <c r="F265">
        <f t="shared" si="211"/>
        <v>0</v>
      </c>
    </row>
    <row r="266" spans="1:6" x14ac:dyDescent="0.25">
      <c r="A266">
        <v>4</v>
      </c>
      <c r="B266">
        <f t="shared" si="211"/>
        <v>0</v>
      </c>
      <c r="C266">
        <f t="shared" si="211"/>
        <v>0</v>
      </c>
      <c r="D266">
        <f t="shared" si="211"/>
        <v>0</v>
      </c>
      <c r="E266">
        <f t="shared" si="211"/>
        <v>0</v>
      </c>
      <c r="F266">
        <f t="shared" si="211"/>
        <v>0</v>
      </c>
    </row>
    <row r="267" spans="1:6" x14ac:dyDescent="0.25">
      <c r="A267">
        <v>5</v>
      </c>
      <c r="B267">
        <f t="shared" si="211"/>
        <v>0</v>
      </c>
      <c r="C267">
        <f t="shared" si="211"/>
        <v>0</v>
      </c>
      <c r="D267">
        <f t="shared" si="211"/>
        <v>0</v>
      </c>
      <c r="E267">
        <f t="shared" si="211"/>
        <v>0</v>
      </c>
      <c r="F267">
        <f t="shared" si="211"/>
        <v>0</v>
      </c>
    </row>
    <row r="268" spans="1:6" x14ac:dyDescent="0.25">
      <c r="A268">
        <v>6</v>
      </c>
      <c r="B268">
        <f t="shared" si="211"/>
        <v>0</v>
      </c>
      <c r="C268">
        <f t="shared" si="211"/>
        <v>0</v>
      </c>
      <c r="D268">
        <f t="shared" si="211"/>
        <v>0</v>
      </c>
      <c r="E268">
        <f t="shared" si="211"/>
        <v>0</v>
      </c>
      <c r="F268">
        <f t="shared" si="211"/>
        <v>0</v>
      </c>
    </row>
    <row r="269" spans="1:6" x14ac:dyDescent="0.25">
      <c r="A269">
        <v>7</v>
      </c>
      <c r="B269">
        <f t="shared" si="211"/>
        <v>0</v>
      </c>
      <c r="C269">
        <f t="shared" si="211"/>
        <v>0</v>
      </c>
      <c r="D269">
        <f t="shared" si="211"/>
        <v>0</v>
      </c>
      <c r="E269">
        <f t="shared" si="211"/>
        <v>0</v>
      </c>
      <c r="F269">
        <f t="shared" si="211"/>
        <v>0</v>
      </c>
    </row>
  </sheetData>
  <mergeCells count="3">
    <mergeCell ref="AI3:AJ3"/>
    <mergeCell ref="AK3:AL3"/>
    <mergeCell ref="E59:G59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ABB362D-FF08-4D4C-85AA-67EF05AC521F}">
  <dimension ref="A1:AN212"/>
  <sheetViews>
    <sheetView workbookViewId="0">
      <selection activeCell="F7" sqref="F7"/>
    </sheetView>
  </sheetViews>
  <sheetFormatPr defaultRowHeight="15" x14ac:dyDescent="0.25"/>
  <cols>
    <col min="1" max="1" width="9.140625" style="267"/>
    <col min="2" max="2" width="20.85546875" style="267" bestFit="1" customWidth="1"/>
    <col min="3" max="3" width="9.5703125" style="267" bestFit="1" customWidth="1"/>
    <col min="4" max="4" width="26.7109375" style="267" bestFit="1" customWidth="1"/>
    <col min="5" max="6" width="6.85546875" style="267" customWidth="1"/>
    <col min="7" max="7" width="7.140625" style="267" bestFit="1" customWidth="1"/>
    <col min="8" max="8" width="5.5703125" style="267" bestFit="1" customWidth="1"/>
    <col min="9" max="11" width="5.140625" style="267" customWidth="1"/>
    <col min="12" max="12" width="26.7109375" style="267" bestFit="1" customWidth="1"/>
    <col min="13" max="13" width="20.85546875" style="267" bestFit="1" customWidth="1"/>
    <col min="14" max="14" width="5.5703125" style="267" bestFit="1" customWidth="1"/>
    <col min="15" max="19" width="9.140625" style="267"/>
    <col min="20" max="20" width="3.7109375" style="267" customWidth="1"/>
    <col min="21" max="21" width="9.140625" style="267"/>
    <col min="22" max="22" width="64.7109375" style="267" customWidth="1"/>
    <col min="23" max="23" width="47.140625" style="267" bestFit="1" customWidth="1"/>
    <col min="24" max="26" width="9.140625" style="267"/>
    <col min="27" max="27" width="4.140625" style="267" bestFit="1" customWidth="1"/>
    <col min="28" max="16384" width="9.140625" style="267"/>
  </cols>
  <sheetData>
    <row r="1" spans="1:40" ht="15" customHeight="1" x14ac:dyDescent="0.25">
      <c r="A1" s="267">
        <v>160</v>
      </c>
      <c r="B1" s="391" t="s">
        <v>706</v>
      </c>
      <c r="C1" s="392" t="e">
        <f>'Order Page'!#REF!</f>
        <v>#REF!</v>
      </c>
      <c r="D1" s="393"/>
      <c r="E1" s="268" t="s">
        <v>685</v>
      </c>
      <c r="F1" s="269">
        <v>1</v>
      </c>
      <c r="G1" s="269">
        <v>2</v>
      </c>
      <c r="H1" s="269">
        <v>3</v>
      </c>
      <c r="I1" s="270">
        <v>4</v>
      </c>
      <c r="J1" s="271">
        <v>5</v>
      </c>
      <c r="K1" s="319"/>
    </row>
    <row r="2" spans="1:40" ht="13.5" customHeight="1" x14ac:dyDescent="0.25">
      <c r="B2" s="391"/>
      <c r="C2" s="392"/>
      <c r="D2" s="393"/>
      <c r="E2" s="323" t="s">
        <v>570</v>
      </c>
      <c r="F2" s="321">
        <f>TB!B260+COUNTIF(F4:F9,"&gt;"&amp;0)*6.2</f>
        <v>0</v>
      </c>
      <c r="G2" s="321">
        <f>TB!C260+COUNTIF(G4:G9,"&gt;"&amp;0)*6.2</f>
        <v>0</v>
      </c>
      <c r="H2" s="321">
        <f>TB!D260+COUNTIF(H4:H9,"&gt;"&amp;0)*6.2</f>
        <v>0</v>
      </c>
      <c r="I2" s="321">
        <f>TB!E260+COUNTIF(I4:I9,"&gt;"&amp;0)*6.2</f>
        <v>0</v>
      </c>
      <c r="J2" s="322">
        <f>TB!F260+COUNTIF(J4:J9,"&gt;"&amp;0)*6.2</f>
        <v>0</v>
      </c>
      <c r="K2" s="319"/>
    </row>
    <row r="3" spans="1:40" ht="12.75" customHeight="1" x14ac:dyDescent="0.25">
      <c r="B3" s="276" t="s">
        <v>707</v>
      </c>
      <c r="C3" s="267" t="s">
        <v>718</v>
      </c>
      <c r="E3" s="272" t="s">
        <v>606</v>
      </c>
      <c r="F3" s="273" t="str">
        <f>COUNT(F4:F9)&amp;IF(MAX(F4:F9)&gt;29," EXT","")</f>
        <v>6</v>
      </c>
      <c r="G3" s="273" t="str">
        <f>IF(COUNTIF(G12:G211,2)&gt;0,COUNT(G4:G9),"")&amp;IF(MAX(G4:G9)&gt;29," EXT","")</f>
        <v/>
      </c>
      <c r="H3" s="273" t="str">
        <f>IF(COUNTIF(G12:G211,3)&gt;0,COUNT(H4:H9),"")&amp;IF(MAX(H4:H9)&gt;29," EXT","")</f>
        <v/>
      </c>
      <c r="I3" s="274" t="str">
        <f>IF(COUNTIF(G12:G211,4)&gt;0,COUNT(I4:I9),"")&amp;IF(MAX(I4:I9)&gt;29," EXT","")</f>
        <v/>
      </c>
      <c r="J3" s="275" t="str">
        <f>IF(COUNTIF(G12:G211,5)&gt;0,COUNT(J4:J9),"")&amp;IF(MAX(J4:J9)&gt;29," EXT","")</f>
        <v/>
      </c>
      <c r="K3" s="320"/>
      <c r="AK3" s="318"/>
    </row>
    <row r="4" spans="1:40" ht="12.75" customHeight="1" x14ac:dyDescent="0.25">
      <c r="E4" s="277">
        <v>1</v>
      </c>
      <c r="F4" s="278">
        <f>IF(TB!B252&gt;0,TB!B251/5-3,0)</f>
        <v>0</v>
      </c>
      <c r="G4" s="278">
        <f>IF(TB!C252&gt;0,TB!C251/5-3,0)</f>
        <v>0</v>
      </c>
      <c r="H4" s="278">
        <f>IF(TB!D252&gt;0,TB!D251/5-3,0)</f>
        <v>0</v>
      </c>
      <c r="I4" s="278">
        <f>IF(TB!E252&gt;0,TB!E251/5-3,0)</f>
        <v>0</v>
      </c>
      <c r="J4" s="279">
        <f>IF(TB!F252&gt;0,TB!F251/5-3,0)</f>
        <v>0</v>
      </c>
      <c r="K4" s="320"/>
      <c r="AK4" s="318"/>
    </row>
    <row r="5" spans="1:40" ht="12.75" customHeight="1" x14ac:dyDescent="0.25">
      <c r="B5" s="283"/>
      <c r="E5" s="280">
        <v>2</v>
      </c>
      <c r="F5" s="281">
        <f>IF(TB!B253&gt;0,TB!B252/5+'Nursery Sheet'!F4,0)</f>
        <v>0</v>
      </c>
      <c r="G5" s="281">
        <f>IF(TB!C253&gt;0,TB!C252/5+'Nursery Sheet'!G4,0)</f>
        <v>0</v>
      </c>
      <c r="H5" s="281">
        <f>IF(TB!D253&gt;0,TB!D252/5+'Nursery Sheet'!H4,0)</f>
        <v>0</v>
      </c>
      <c r="I5" s="281">
        <f>IF(TB!E253&gt;0,TB!E252/5+'Nursery Sheet'!I4,0)</f>
        <v>0</v>
      </c>
      <c r="J5" s="282">
        <f>IF(TB!F253&gt;0,TB!F252/5+'Nursery Sheet'!J4,0)</f>
        <v>0</v>
      </c>
      <c r="K5" s="320"/>
      <c r="AK5" s="318"/>
    </row>
    <row r="6" spans="1:40" ht="12.75" customHeight="1" x14ac:dyDescent="0.25">
      <c r="B6" s="283" t="s">
        <v>708</v>
      </c>
      <c r="E6" s="280">
        <v>3</v>
      </c>
      <c r="F6" s="281">
        <f>IF(TB!B254&gt;0,TB!B253/5+'Nursery Sheet'!F5,0)</f>
        <v>0</v>
      </c>
      <c r="G6" s="281">
        <f>IF(TB!C254&gt;0,TB!C253/5+'Nursery Sheet'!G5,0)</f>
        <v>0</v>
      </c>
      <c r="H6" s="281">
        <f>IF(TB!D254&gt;0,TB!D253/5+'Nursery Sheet'!H5,0)</f>
        <v>0</v>
      </c>
      <c r="I6" s="281">
        <f>IF(TB!E254&gt;0,TB!E253/5+'Nursery Sheet'!I5,0)</f>
        <v>0</v>
      </c>
      <c r="J6" s="282">
        <f>IF(TB!F254&gt;0,TB!F253/5+'Nursery Sheet'!J5,0)</f>
        <v>0</v>
      </c>
      <c r="K6" s="320"/>
      <c r="AK6" s="318"/>
    </row>
    <row r="7" spans="1:40" ht="12.75" customHeight="1" x14ac:dyDescent="0.25">
      <c r="E7" s="280">
        <v>4</v>
      </c>
      <c r="F7" s="281">
        <f>IF(TB!B255&gt;0,TB!B254/5+'Nursery Sheet'!F6,0)</f>
        <v>0</v>
      </c>
      <c r="G7" s="281">
        <f>IF(TB!C255&gt;0,TB!C254/5+'Nursery Sheet'!G6,0)</f>
        <v>0</v>
      </c>
      <c r="H7" s="281">
        <f>IF(TB!D255&gt;0,TB!D254/5+'Nursery Sheet'!H6,0)</f>
        <v>0</v>
      </c>
      <c r="I7" s="281">
        <f>IF(TB!E255&gt;0,TB!E254/5+'Nursery Sheet'!I6,0)</f>
        <v>0</v>
      </c>
      <c r="J7" s="282">
        <f>IF(TB!F255&gt;0,TB!F254/5+'Nursery Sheet'!J6,0)</f>
        <v>0</v>
      </c>
      <c r="K7" s="320"/>
      <c r="AK7" s="318"/>
    </row>
    <row r="8" spans="1:40" ht="12.75" customHeight="1" x14ac:dyDescent="0.25">
      <c r="E8" s="280">
        <v>5</v>
      </c>
      <c r="F8" s="281">
        <f>IF(TB!B256&gt;0,TB!B255/5+'Nursery Sheet'!F7,0)</f>
        <v>0</v>
      </c>
      <c r="G8" s="281">
        <f>IF(TB!C256&gt;0,TB!C255/5+'Nursery Sheet'!G7,0)</f>
        <v>0</v>
      </c>
      <c r="H8" s="281">
        <f>IF(TB!D256&gt;0,TB!D255/5+'Nursery Sheet'!H7,0)</f>
        <v>0</v>
      </c>
      <c r="I8" s="281">
        <f>IF(TB!E256&gt;0,TB!E255/5+'Nursery Sheet'!I7,0)</f>
        <v>0</v>
      </c>
      <c r="J8" s="282">
        <f>IF(TB!F256&gt;0,TB!F255/5+'Nursery Sheet'!J7,0)</f>
        <v>0</v>
      </c>
      <c r="K8" s="320"/>
      <c r="AK8" s="318"/>
    </row>
    <row r="9" spans="1:40" ht="12.75" customHeight="1" x14ac:dyDescent="0.25">
      <c r="E9" s="284">
        <v>6</v>
      </c>
      <c r="F9" s="285">
        <f>IF(TB!B257&gt;0,TB!B256/5+'Nursery Sheet'!F8,0)</f>
        <v>0</v>
      </c>
      <c r="G9" s="285">
        <f>IF(TB!C257&gt;0,TB!C256/5+'Nursery Sheet'!G8,0)</f>
        <v>0</v>
      </c>
      <c r="H9" s="285">
        <f>IF(TB!D257&gt;0,TB!D256/5+'Nursery Sheet'!H8,0)</f>
        <v>0</v>
      </c>
      <c r="I9" s="285">
        <f>IF(TB!E257&gt;0,TB!E256/5+'Nursery Sheet'!I8,0)</f>
        <v>0</v>
      </c>
      <c r="J9" s="286">
        <f>IF(TB!F257&gt;0,TB!F256/5+'Nursery Sheet'!J8,0)</f>
        <v>0</v>
      </c>
      <c r="K9" s="320"/>
      <c r="AK9" s="318"/>
    </row>
    <row r="10" spans="1:40" ht="7.5" customHeight="1" x14ac:dyDescent="0.25"/>
    <row r="11" spans="1:40" x14ac:dyDescent="0.25">
      <c r="A11" s="267" t="s">
        <v>605</v>
      </c>
      <c r="B11" s="287" t="s">
        <v>560</v>
      </c>
      <c r="C11" s="288" t="s">
        <v>712</v>
      </c>
      <c r="D11" s="289" t="s">
        <v>280</v>
      </c>
      <c r="E11" s="394" t="s">
        <v>714</v>
      </c>
      <c r="F11" s="395"/>
      <c r="G11" s="289" t="s">
        <v>685</v>
      </c>
      <c r="H11" s="290" t="s">
        <v>665</v>
      </c>
      <c r="I11" s="396" t="s">
        <v>715</v>
      </c>
      <c r="J11" s="397"/>
      <c r="K11" s="319"/>
      <c r="L11" s="267" t="s">
        <v>280</v>
      </c>
      <c r="M11" s="267" t="s">
        <v>619</v>
      </c>
      <c r="N11" s="267" t="s">
        <v>665</v>
      </c>
      <c r="O11" s="267" t="s">
        <v>709</v>
      </c>
      <c r="P11" s="267" t="s">
        <v>685</v>
      </c>
      <c r="Q11" s="267" t="s">
        <v>687</v>
      </c>
      <c r="R11" s="267" t="s">
        <v>710</v>
      </c>
      <c r="Y11" s="267" t="s">
        <v>280</v>
      </c>
      <c r="Z11" s="267" t="s">
        <v>619</v>
      </c>
      <c r="AA11" s="267" t="s">
        <v>620</v>
      </c>
      <c r="AB11" s="267" t="s">
        <v>711</v>
      </c>
      <c r="AC11" s="267" t="s">
        <v>685</v>
      </c>
      <c r="AD11" s="267" t="s">
        <v>665</v>
      </c>
      <c r="AE11" s="267" t="s">
        <v>712</v>
      </c>
      <c r="AF11" s="267" t="s">
        <v>713</v>
      </c>
    </row>
    <row r="12" spans="1:40" x14ac:dyDescent="0.25">
      <c r="A12" s="267">
        <v>1</v>
      </c>
      <c r="B12" s="291" t="str">
        <f t="shared" ref="B12:B43" si="0">_xlfn.SINGLE(_xlfn.XLOOKUP(A12,AH$12:AH$211,Z$12:Z$211,""))</f>
        <v/>
      </c>
      <c r="C12" s="292">
        <f t="shared" ref="C12:C43" si="1">_xlfn.SINGLE(_xlfn.XLOOKUP(A12,AH$12:AH$211,AE$12:AE$211,""))</f>
        <v>38</v>
      </c>
      <c r="D12" s="293" t="str">
        <f>_xlfn.XLOOKUP(A12,AH$12:AH$211,Y$12:Y$211,"")</f>
        <v>Acorus Calamus</v>
      </c>
      <c r="E12" s="294">
        <f>_xlfn.XLOOKUP(A12,AH$12:AH$211,AA$12:AA$211,"")</f>
        <v>200</v>
      </c>
      <c r="F12" s="295" t="str">
        <f>_xlfn.XLOOKUP(A12,AH$12:AH$211,AB$12:AB$211,"")</f>
        <v>x6</v>
      </c>
      <c r="G12" s="281">
        <f>_xlfn.XLOOKUP(A12,AH$12:AH$211,AC$12:AC$211,"")</f>
        <v>0</v>
      </c>
      <c r="H12" s="296">
        <f>_xlfn.XLOOKUP(A12,AH$12:AH$211,AD$12:AD$211,"")</f>
        <v>0</v>
      </c>
      <c r="I12" s="297"/>
      <c r="J12" s="298"/>
      <c r="L12" s="267" t="str">
        <f>TB!AG4</f>
        <v>Acorus Calamus</v>
      </c>
      <c r="M12" s="267" t="str">
        <f>TB!AD4</f>
        <v/>
      </c>
      <c r="N12" s="267">
        <f>TB!AT4</f>
        <v>0</v>
      </c>
      <c r="O12" s="267">
        <f>TB!AV4</f>
        <v>38</v>
      </c>
      <c r="P12" s="267">
        <f>ROUNDDOWN(N12/10,0)</f>
        <v>0</v>
      </c>
      <c r="Q12" s="267">
        <f t="shared" ref="Q12" si="2">N12-P12*10</f>
        <v>0</v>
      </c>
      <c r="R12" s="267" t="str">
        <f>TB!AU4</f>
        <v>x6</v>
      </c>
      <c r="S12" s="267">
        <f>COUNTIF(N$12:N12,N12)</f>
        <v>1</v>
      </c>
      <c r="T12" s="267">
        <v>1</v>
      </c>
      <c r="U12" s="267">
        <f>SUMIFS(T$12:T$211,L$12:L$211,L12,M$12:M$211,M12,N$12:N$211,N12)</f>
        <v>200</v>
      </c>
      <c r="V12" s="267" t="str">
        <f>IF(L12&lt;&gt;"",L12&amp;M12&amp;N12,"")</f>
        <v>Acorus Calamus0</v>
      </c>
      <c r="W12" s="267" t="str">
        <f>V12</f>
        <v>Acorus Calamus0</v>
      </c>
      <c r="X12" s="267">
        <f>IF(W12&lt;&gt;"",1,"")</f>
        <v>1</v>
      </c>
      <c r="Y12" s="267" t="str">
        <f>IF(X12&lt;&gt;"",L12,"")</f>
        <v>Acorus Calamus</v>
      </c>
      <c r="Z12" s="267" t="str">
        <f>IF(X12&lt;&gt;"",M12,"")</f>
        <v/>
      </c>
      <c r="AA12" s="267">
        <f>IF(X12&lt;&gt;"",U12,"")</f>
        <v>200</v>
      </c>
      <c r="AB12" s="267" t="str">
        <f>IF(X12&lt;&gt;"",R12,"")</f>
        <v>x6</v>
      </c>
      <c r="AC12" s="267">
        <f>IF(X12&lt;&gt;"",P12,"")</f>
        <v>0</v>
      </c>
      <c r="AD12" s="267">
        <f>IF(X12&lt;&gt;"",Q12,"")</f>
        <v>0</v>
      </c>
      <c r="AE12" s="267">
        <f>IF(X12&lt;&gt;"",O12,"")</f>
        <v>38</v>
      </c>
      <c r="AF12" s="267">
        <f>_xlfn.XLOOKUP(AE12,AM$12:AM$122,AN$12:AN$122,0)</f>
        <v>2</v>
      </c>
      <c r="AG12" s="267">
        <f>IFERROR(AC12*1000+AE12+IF(AE12=100,10000,0),"")</f>
        <v>38</v>
      </c>
      <c r="AH12" s="267">
        <f>IFERROR(RANK(AG12,AG$12:AG$211,1)+COUNTIF(AG$12:AG12,AG12)-1,"")</f>
        <v>1</v>
      </c>
      <c r="AM12" s="267">
        <v>1</v>
      </c>
      <c r="AN12" s="267">
        <v>1</v>
      </c>
    </row>
    <row r="13" spans="1:40" x14ac:dyDescent="0.25">
      <c r="A13" s="267">
        <v>2</v>
      </c>
      <c r="B13" s="299" t="str">
        <f t="shared" si="0"/>
        <v/>
      </c>
      <c r="C13" s="300" t="str">
        <f t="shared" si="1"/>
        <v/>
      </c>
      <c r="D13" s="301" t="str">
        <f t="shared" ref="D13:D44" si="3">_xlfn.SINGLE(_xlfn.XLOOKUP(A13,AH$12:AH$211,Y$12:Y$211,""))</f>
        <v/>
      </c>
      <c r="E13" s="302" t="str">
        <f t="shared" ref="E13:E44" si="4">_xlfn.SINGLE(_xlfn.XLOOKUP(A13,AH$12:AH$211,AA$12:AA$211,""))</f>
        <v/>
      </c>
      <c r="F13" s="303" t="str">
        <f t="shared" ref="F13:F44" si="5">_xlfn.SINGLE(_xlfn.XLOOKUP(A13,AH$12:AH$211,AB$12:AB$211,""))</f>
        <v/>
      </c>
      <c r="G13" s="304" t="str">
        <f t="shared" ref="G13:G44" si="6">_xlfn.SINGLE(_xlfn.XLOOKUP(A13,AH$12:AH$211,AC$12:AC$211,""))</f>
        <v/>
      </c>
      <c r="H13" s="305" t="str">
        <f t="shared" ref="H13:H44" si="7">_xlfn.SINGLE(_xlfn.XLOOKUP(A13,AH$12:AH$211,AD$12:AD$211,""))</f>
        <v/>
      </c>
      <c r="I13" s="306"/>
      <c r="J13" s="307"/>
      <c r="L13" s="267" t="str">
        <f>TB!AG5</f>
        <v>Acorus Calamus</v>
      </c>
      <c r="M13" s="267" t="str">
        <f>TB!AD5</f>
        <v/>
      </c>
      <c r="N13" s="267">
        <f>TB!AT5</f>
        <v>0</v>
      </c>
      <c r="O13" s="267">
        <f>TB!AV5</f>
        <v>38</v>
      </c>
      <c r="P13" s="267">
        <f>ROUNDDOWN(N13/10,0)</f>
        <v>0</v>
      </c>
      <c r="Q13" s="267">
        <f t="shared" ref="Q13:Q76" si="8">N13-P13*10</f>
        <v>0</v>
      </c>
      <c r="R13" s="267" t="str">
        <f>TB!AU5</f>
        <v>x6</v>
      </c>
      <c r="S13" s="267">
        <f>COUNTIF(N$12:N13,N13)</f>
        <v>2</v>
      </c>
      <c r="T13" s="267">
        <v>1</v>
      </c>
      <c r="U13" s="267">
        <f t="shared" ref="U13:U76" si="9">SUMIFS(T$12:T$211,L$12:L$211,L13,M$12:M$211,M13,N$12:N$211,N13)</f>
        <v>200</v>
      </c>
      <c r="V13" s="267" t="str">
        <f t="shared" ref="V13:V75" si="10">IF(L13&lt;&gt;"",L13&amp;M13&amp;N13,"")</f>
        <v>Acorus Calamus0</v>
      </c>
      <c r="W13" s="267" t="str">
        <f>IF(V13=V12,"",V13)</f>
        <v/>
      </c>
      <c r="X13" s="267" t="str">
        <f>IF(W13&lt;&gt;"",1+COUNT(X$12:X12),"")</f>
        <v/>
      </c>
      <c r="Y13" s="267" t="str">
        <f t="shared" ref="Y13:Y76" si="11">IF(X13&lt;&gt;"",L13,"")</f>
        <v/>
      </c>
      <c r="Z13" s="267" t="str">
        <f t="shared" ref="Z13:Z76" si="12">IF(X13&lt;&gt;"",M13,"")</f>
        <v/>
      </c>
      <c r="AA13" s="267" t="str">
        <f t="shared" ref="AA13:AA76" si="13">IF(X13&lt;&gt;"",U13,"")</f>
        <v/>
      </c>
      <c r="AB13" s="267" t="str">
        <f t="shared" ref="AB13:AB76" si="14">IF(X13&lt;&gt;"",R13,"")</f>
        <v/>
      </c>
      <c r="AC13" s="267" t="str">
        <f t="shared" ref="AC13:AC76" si="15">IF(X13&lt;&gt;"",P13,"")</f>
        <v/>
      </c>
      <c r="AD13" s="267" t="str">
        <f t="shared" ref="AD13:AD76" si="16">IF(X13&lt;&gt;"",Q13,"")</f>
        <v/>
      </c>
      <c r="AE13" s="267" t="str">
        <f t="shared" ref="AE13:AE26" si="17">IF(X13&lt;&gt;"",O13,"")</f>
        <v/>
      </c>
      <c r="AF13" s="267">
        <f t="shared" ref="AF13:AF44" si="18">_xlfn.SINGLE(_xlfn.XLOOKUP(AE13,AM$12:AM$122,AN$12:AN$122,0))</f>
        <v>0</v>
      </c>
      <c r="AG13" s="267" t="str">
        <f t="shared" ref="AG13:AG76" si="19">IFERROR(AC13*1000+AE13+IF(AE13=100,10000,0),"")</f>
        <v/>
      </c>
      <c r="AH13" s="267" t="str">
        <f>IFERROR(RANK(AG13,AG$12:AG$211,1)+COUNTIF(AG$12:AG13,AG13)-1,"")</f>
        <v/>
      </c>
      <c r="AM13" s="267">
        <v>2</v>
      </c>
      <c r="AN13" s="267">
        <v>3</v>
      </c>
    </row>
    <row r="14" spans="1:40" x14ac:dyDescent="0.25">
      <c r="A14" s="267">
        <v>3</v>
      </c>
      <c r="B14" s="291" t="str">
        <f t="shared" si="0"/>
        <v/>
      </c>
      <c r="C14" s="292" t="str">
        <f t="shared" si="1"/>
        <v/>
      </c>
      <c r="D14" s="293" t="str">
        <f t="shared" si="3"/>
        <v/>
      </c>
      <c r="E14" s="294" t="str">
        <f t="shared" si="4"/>
        <v/>
      </c>
      <c r="F14" s="295" t="str">
        <f t="shared" si="5"/>
        <v/>
      </c>
      <c r="G14" s="281" t="str">
        <f t="shared" si="6"/>
        <v/>
      </c>
      <c r="H14" s="296" t="str">
        <f t="shared" si="7"/>
        <v/>
      </c>
      <c r="I14" s="297"/>
      <c r="J14" s="298"/>
      <c r="L14" s="267" t="str">
        <f>TB!AG6</f>
        <v>Acorus Calamus</v>
      </c>
      <c r="M14" s="267" t="str">
        <f>TB!AD6</f>
        <v/>
      </c>
      <c r="N14" s="267">
        <f>TB!AT6</f>
        <v>0</v>
      </c>
      <c r="O14" s="267">
        <f>TB!AV6</f>
        <v>38</v>
      </c>
      <c r="P14" s="267">
        <f>ROUNDDOWN(N14/10,0)</f>
        <v>0</v>
      </c>
      <c r="Q14" s="267">
        <f>N14-P14*10</f>
        <v>0</v>
      </c>
      <c r="R14" s="267" t="str">
        <f>TB!AU6</f>
        <v>x6</v>
      </c>
      <c r="S14" s="267">
        <f>COUNTIF(N$12:N14,N14)</f>
        <v>3</v>
      </c>
      <c r="T14" s="267">
        <v>1</v>
      </c>
      <c r="U14" s="267">
        <f t="shared" si="9"/>
        <v>200</v>
      </c>
      <c r="V14" s="267" t="str">
        <f t="shared" si="10"/>
        <v>Acorus Calamus0</v>
      </c>
      <c r="W14" s="267" t="str">
        <f t="shared" ref="W14:W77" si="20">IF(V14=V13,"",V14)</f>
        <v/>
      </c>
      <c r="X14" s="267" t="str">
        <f>IF(W14&lt;&gt;"",1+COUNT(X$12:X13),"")</f>
        <v/>
      </c>
      <c r="Y14" s="267" t="str">
        <f t="shared" si="11"/>
        <v/>
      </c>
      <c r="Z14" s="267" t="str">
        <f t="shared" si="12"/>
        <v/>
      </c>
      <c r="AA14" s="267" t="str">
        <f t="shared" si="13"/>
        <v/>
      </c>
      <c r="AB14" s="267" t="str">
        <f t="shared" si="14"/>
        <v/>
      </c>
      <c r="AC14" s="267" t="str">
        <f t="shared" si="15"/>
        <v/>
      </c>
      <c r="AD14" s="267" t="str">
        <f t="shared" si="16"/>
        <v/>
      </c>
      <c r="AE14" s="267" t="str">
        <f t="shared" si="17"/>
        <v/>
      </c>
      <c r="AF14" s="267">
        <f t="shared" si="18"/>
        <v>0</v>
      </c>
      <c r="AG14" s="267" t="str">
        <f t="shared" si="19"/>
        <v/>
      </c>
      <c r="AH14" s="267" t="str">
        <f>IFERROR(RANK(AG14,AG$12:AG$211,1)+COUNTIF(AG$12:AG14,AG14)-1,"")</f>
        <v/>
      </c>
      <c r="AM14" s="267">
        <v>3</v>
      </c>
      <c r="AN14" s="267">
        <v>5</v>
      </c>
    </row>
    <row r="15" spans="1:40" x14ac:dyDescent="0.25">
      <c r="A15" s="267">
        <v>4</v>
      </c>
      <c r="B15" s="299" t="str">
        <f t="shared" si="0"/>
        <v/>
      </c>
      <c r="C15" s="300" t="str">
        <f t="shared" si="1"/>
        <v/>
      </c>
      <c r="D15" s="301" t="str">
        <f t="shared" si="3"/>
        <v/>
      </c>
      <c r="E15" s="302" t="str">
        <f t="shared" si="4"/>
        <v/>
      </c>
      <c r="F15" s="303" t="str">
        <f t="shared" si="5"/>
        <v/>
      </c>
      <c r="G15" s="304" t="str">
        <f t="shared" si="6"/>
        <v/>
      </c>
      <c r="H15" s="305" t="str">
        <f t="shared" si="7"/>
        <v/>
      </c>
      <c r="I15" s="306"/>
      <c r="J15" s="307"/>
      <c r="L15" s="267" t="str">
        <f>TB!AG7</f>
        <v>Acorus Calamus</v>
      </c>
      <c r="M15" s="267" t="str">
        <f>TB!AD7</f>
        <v/>
      </c>
      <c r="N15" s="267">
        <f>TB!AT7</f>
        <v>0</v>
      </c>
      <c r="O15" s="267">
        <f>TB!AV7</f>
        <v>38</v>
      </c>
      <c r="P15" s="267">
        <f t="shared" ref="P15:P76" si="21">ROUNDDOWN(N15/10,0)</f>
        <v>0</v>
      </c>
      <c r="Q15" s="267">
        <f t="shared" si="8"/>
        <v>0</v>
      </c>
      <c r="R15" s="267" t="str">
        <f>TB!AU7</f>
        <v>x6</v>
      </c>
      <c r="S15" s="267">
        <f>COUNTIF(N$12:N15,N15)</f>
        <v>4</v>
      </c>
      <c r="T15" s="267">
        <v>1</v>
      </c>
      <c r="U15" s="267">
        <f>SUMIFS(T$12:T$211,L$12:L$211,L15,M$12:M$211,M15,N$12:N$211,N15)</f>
        <v>200</v>
      </c>
      <c r="V15" s="267" t="str">
        <f t="shared" si="10"/>
        <v>Acorus Calamus0</v>
      </c>
      <c r="W15" s="267" t="str">
        <f t="shared" si="20"/>
        <v/>
      </c>
      <c r="X15" s="267" t="str">
        <f>IF(W15&lt;&gt;"",1+COUNT(X$12:X14),"")</f>
        <v/>
      </c>
      <c r="Y15" s="267" t="str">
        <f t="shared" si="11"/>
        <v/>
      </c>
      <c r="Z15" s="267" t="str">
        <f t="shared" si="12"/>
        <v/>
      </c>
      <c r="AA15" s="267" t="str">
        <f t="shared" si="13"/>
        <v/>
      </c>
      <c r="AB15" s="267" t="str">
        <f t="shared" si="14"/>
        <v/>
      </c>
      <c r="AC15" s="267" t="str">
        <f t="shared" si="15"/>
        <v/>
      </c>
      <c r="AD15" s="267" t="str">
        <f t="shared" si="16"/>
        <v/>
      </c>
      <c r="AE15" s="267" t="str">
        <f t="shared" si="17"/>
        <v/>
      </c>
      <c r="AF15" s="267">
        <f t="shared" si="18"/>
        <v>0</v>
      </c>
      <c r="AG15" s="267" t="str">
        <f t="shared" si="19"/>
        <v/>
      </c>
      <c r="AH15" s="267" t="str">
        <f>IFERROR(RANK(AG15,AG$12:AG$211,1)+COUNTIF(AG$12:AG15,AG15)-1,"")</f>
        <v/>
      </c>
      <c r="AM15" s="267">
        <v>4</v>
      </c>
      <c r="AN15" s="267">
        <v>7</v>
      </c>
    </row>
    <row r="16" spans="1:40" x14ac:dyDescent="0.25">
      <c r="A16" s="267">
        <v>5</v>
      </c>
      <c r="B16" s="291" t="str">
        <f t="shared" si="0"/>
        <v/>
      </c>
      <c r="C16" s="292" t="str">
        <f t="shared" si="1"/>
        <v/>
      </c>
      <c r="D16" s="293" t="str">
        <f t="shared" si="3"/>
        <v/>
      </c>
      <c r="E16" s="294" t="str">
        <f t="shared" si="4"/>
        <v/>
      </c>
      <c r="F16" s="295" t="str">
        <f t="shared" si="5"/>
        <v/>
      </c>
      <c r="G16" s="281" t="str">
        <f t="shared" si="6"/>
        <v/>
      </c>
      <c r="H16" s="296" t="str">
        <f t="shared" si="7"/>
        <v/>
      </c>
      <c r="I16" s="297"/>
      <c r="J16" s="298"/>
      <c r="L16" s="267" t="str">
        <f>TB!AG8</f>
        <v>Acorus Calamus</v>
      </c>
      <c r="M16" s="267" t="str">
        <f>TB!AD8</f>
        <v/>
      </c>
      <c r="N16" s="267">
        <f>TB!AT8</f>
        <v>0</v>
      </c>
      <c r="O16" s="267">
        <f>TB!AV8</f>
        <v>38</v>
      </c>
      <c r="P16" s="267">
        <f t="shared" si="21"/>
        <v>0</v>
      </c>
      <c r="Q16" s="267">
        <f t="shared" si="8"/>
        <v>0</v>
      </c>
      <c r="R16" s="267" t="str">
        <f>TB!AU8</f>
        <v>x6</v>
      </c>
      <c r="S16" s="267">
        <f>COUNTIF(N$12:N16,N16)</f>
        <v>5</v>
      </c>
      <c r="T16" s="267">
        <v>1</v>
      </c>
      <c r="U16" s="267">
        <f>SUMIFS(T$12:T$211,L$12:L$211,L16,M$12:M$211,M16,N$12:N$211,N16)</f>
        <v>200</v>
      </c>
      <c r="V16" s="267" t="str">
        <f t="shared" si="10"/>
        <v>Acorus Calamus0</v>
      </c>
      <c r="W16" s="267" t="str">
        <f t="shared" si="20"/>
        <v/>
      </c>
      <c r="X16" s="267" t="str">
        <f>IF(W16&lt;&gt;"",1+COUNT(X$12:X15),"")</f>
        <v/>
      </c>
      <c r="Y16" s="267" t="str">
        <f t="shared" si="11"/>
        <v/>
      </c>
      <c r="Z16" s="267" t="str">
        <f t="shared" si="12"/>
        <v/>
      </c>
      <c r="AA16" s="267" t="str">
        <f t="shared" si="13"/>
        <v/>
      </c>
      <c r="AB16" s="267" t="str">
        <f t="shared" si="14"/>
        <v/>
      </c>
      <c r="AC16" s="267" t="str">
        <f t="shared" si="15"/>
        <v/>
      </c>
      <c r="AD16" s="267" t="str">
        <f t="shared" si="16"/>
        <v/>
      </c>
      <c r="AE16" s="267" t="str">
        <f t="shared" si="17"/>
        <v/>
      </c>
      <c r="AF16" s="267">
        <f t="shared" si="18"/>
        <v>0</v>
      </c>
      <c r="AG16" s="267" t="str">
        <f t="shared" si="19"/>
        <v/>
      </c>
      <c r="AH16" s="267" t="str">
        <f>IFERROR(RANK(AG16,AG$12:AG$211,1)+COUNTIF(AG$12:AG16,AG16)-1,"")</f>
        <v/>
      </c>
      <c r="AM16" s="267">
        <v>5</v>
      </c>
      <c r="AN16" s="267">
        <v>9</v>
      </c>
    </row>
    <row r="17" spans="1:40" x14ac:dyDescent="0.25">
      <c r="A17" s="267">
        <v>6</v>
      </c>
      <c r="B17" s="299" t="str">
        <f t="shared" si="0"/>
        <v/>
      </c>
      <c r="C17" s="300" t="str">
        <f t="shared" si="1"/>
        <v/>
      </c>
      <c r="D17" s="301" t="str">
        <f t="shared" si="3"/>
        <v/>
      </c>
      <c r="E17" s="302" t="str">
        <f t="shared" si="4"/>
        <v/>
      </c>
      <c r="F17" s="303" t="str">
        <f t="shared" si="5"/>
        <v/>
      </c>
      <c r="G17" s="304" t="str">
        <f t="shared" si="6"/>
        <v/>
      </c>
      <c r="H17" s="305" t="str">
        <f t="shared" si="7"/>
        <v/>
      </c>
      <c r="I17" s="306"/>
      <c r="J17" s="307"/>
      <c r="L17" s="267" t="str">
        <f>TB!AG9</f>
        <v>Acorus Calamus</v>
      </c>
      <c r="M17" s="267" t="str">
        <f>TB!AD9</f>
        <v/>
      </c>
      <c r="N17" s="267">
        <f>TB!AT9</f>
        <v>0</v>
      </c>
      <c r="O17" s="267">
        <f>TB!AV9</f>
        <v>38</v>
      </c>
      <c r="P17" s="267">
        <f t="shared" si="21"/>
        <v>0</v>
      </c>
      <c r="Q17" s="267">
        <f t="shared" si="8"/>
        <v>0</v>
      </c>
      <c r="R17" s="267" t="str">
        <f>TB!AU9</f>
        <v>x6</v>
      </c>
      <c r="S17" s="267">
        <f>COUNTIF(N$12:N17,N17)</f>
        <v>6</v>
      </c>
      <c r="T17" s="267">
        <v>1</v>
      </c>
      <c r="U17" s="267">
        <f t="shared" si="9"/>
        <v>200</v>
      </c>
      <c r="V17" s="267" t="str">
        <f t="shared" si="10"/>
        <v>Acorus Calamus0</v>
      </c>
      <c r="W17" s="267" t="str">
        <f t="shared" si="20"/>
        <v/>
      </c>
      <c r="X17" s="267" t="str">
        <f>IF(W17&lt;&gt;"",1+COUNT(X$12:X16),"")</f>
        <v/>
      </c>
      <c r="Y17" s="267" t="str">
        <f t="shared" si="11"/>
        <v/>
      </c>
      <c r="Z17" s="267" t="str">
        <f t="shared" si="12"/>
        <v/>
      </c>
      <c r="AA17" s="267" t="str">
        <f t="shared" si="13"/>
        <v/>
      </c>
      <c r="AB17" s="267" t="str">
        <f t="shared" si="14"/>
        <v/>
      </c>
      <c r="AC17" s="267" t="str">
        <f t="shared" si="15"/>
        <v/>
      </c>
      <c r="AD17" s="267" t="str">
        <f t="shared" si="16"/>
        <v/>
      </c>
      <c r="AE17" s="267" t="str">
        <f t="shared" si="17"/>
        <v/>
      </c>
      <c r="AF17" s="267">
        <f t="shared" si="18"/>
        <v>0</v>
      </c>
      <c r="AG17" s="267" t="str">
        <f t="shared" si="19"/>
        <v/>
      </c>
      <c r="AH17" s="267" t="str">
        <f>IFERROR(RANK(AG17,AG$12:AG$211,1)+COUNTIF(AG$12:AG17,AG17)-1,"")</f>
        <v/>
      </c>
      <c r="AM17" s="267">
        <v>6</v>
      </c>
      <c r="AN17" s="267">
        <v>11</v>
      </c>
    </row>
    <row r="18" spans="1:40" x14ac:dyDescent="0.25">
      <c r="A18" s="267">
        <v>7</v>
      </c>
      <c r="B18" s="291" t="str">
        <f t="shared" si="0"/>
        <v/>
      </c>
      <c r="C18" s="292" t="str">
        <f t="shared" si="1"/>
        <v/>
      </c>
      <c r="D18" s="293" t="str">
        <f t="shared" si="3"/>
        <v/>
      </c>
      <c r="E18" s="294" t="str">
        <f t="shared" si="4"/>
        <v/>
      </c>
      <c r="F18" s="295" t="str">
        <f t="shared" si="5"/>
        <v/>
      </c>
      <c r="G18" s="281" t="str">
        <f t="shared" si="6"/>
        <v/>
      </c>
      <c r="H18" s="296" t="str">
        <f t="shared" si="7"/>
        <v/>
      </c>
      <c r="I18" s="297"/>
      <c r="J18" s="298"/>
      <c r="L18" s="267" t="str">
        <f>TB!AG10</f>
        <v>Acorus Calamus</v>
      </c>
      <c r="M18" s="267" t="str">
        <f>TB!AD10</f>
        <v/>
      </c>
      <c r="N18" s="267">
        <f>TB!AT10</f>
        <v>0</v>
      </c>
      <c r="O18" s="267">
        <f>TB!AV10</f>
        <v>38</v>
      </c>
      <c r="P18" s="267">
        <f t="shared" si="21"/>
        <v>0</v>
      </c>
      <c r="Q18" s="267">
        <f t="shared" si="8"/>
        <v>0</v>
      </c>
      <c r="R18" s="267" t="str">
        <f>TB!AU10</f>
        <v>x6</v>
      </c>
      <c r="S18" s="267">
        <f>COUNTIF(N$12:N18,N18)</f>
        <v>7</v>
      </c>
      <c r="T18" s="267">
        <v>1</v>
      </c>
      <c r="U18" s="267">
        <f t="shared" si="9"/>
        <v>200</v>
      </c>
      <c r="V18" s="267" t="str">
        <f t="shared" si="10"/>
        <v>Acorus Calamus0</v>
      </c>
      <c r="W18" s="267" t="str">
        <f t="shared" si="20"/>
        <v/>
      </c>
      <c r="X18" s="267" t="str">
        <f>IF(W18&lt;&gt;"",1+COUNT(X$12:X17),"")</f>
        <v/>
      </c>
      <c r="Y18" s="267" t="str">
        <f t="shared" si="11"/>
        <v/>
      </c>
      <c r="Z18" s="267" t="str">
        <f t="shared" si="12"/>
        <v/>
      </c>
      <c r="AA18" s="267" t="str">
        <f t="shared" si="13"/>
        <v/>
      </c>
      <c r="AB18" s="267" t="str">
        <f t="shared" si="14"/>
        <v/>
      </c>
      <c r="AC18" s="267" t="str">
        <f t="shared" si="15"/>
        <v/>
      </c>
      <c r="AD18" s="267" t="str">
        <f t="shared" si="16"/>
        <v/>
      </c>
      <c r="AE18" s="267" t="str">
        <f t="shared" si="17"/>
        <v/>
      </c>
      <c r="AF18" s="267">
        <f t="shared" si="18"/>
        <v>0</v>
      </c>
      <c r="AG18" s="267" t="str">
        <f t="shared" si="19"/>
        <v/>
      </c>
      <c r="AH18" s="267" t="str">
        <f>IFERROR(RANK(AG18,AG$12:AG$211,1)+COUNTIF(AG$12:AG18,AG18)-1,"")</f>
        <v/>
      </c>
      <c r="AM18" s="267">
        <v>7</v>
      </c>
      <c r="AN18" s="267">
        <v>13</v>
      </c>
    </row>
    <row r="19" spans="1:40" x14ac:dyDescent="0.25">
      <c r="A19" s="267">
        <v>8</v>
      </c>
      <c r="B19" s="299" t="str">
        <f t="shared" si="0"/>
        <v/>
      </c>
      <c r="C19" s="300" t="str">
        <f t="shared" si="1"/>
        <v/>
      </c>
      <c r="D19" s="301" t="str">
        <f t="shared" si="3"/>
        <v/>
      </c>
      <c r="E19" s="302" t="str">
        <f t="shared" si="4"/>
        <v/>
      </c>
      <c r="F19" s="303" t="str">
        <f t="shared" si="5"/>
        <v/>
      </c>
      <c r="G19" s="304" t="str">
        <f t="shared" si="6"/>
        <v/>
      </c>
      <c r="H19" s="305" t="str">
        <f t="shared" si="7"/>
        <v/>
      </c>
      <c r="I19" s="306"/>
      <c r="J19" s="307"/>
      <c r="L19" s="267" t="str">
        <f>TB!AG11</f>
        <v>Acorus Calamus</v>
      </c>
      <c r="M19" s="267" t="str">
        <f>TB!AD11</f>
        <v/>
      </c>
      <c r="N19" s="267">
        <f>TB!AT11</f>
        <v>0</v>
      </c>
      <c r="O19" s="267">
        <f>TB!AV11</f>
        <v>38</v>
      </c>
      <c r="P19" s="267">
        <f t="shared" si="21"/>
        <v>0</v>
      </c>
      <c r="Q19" s="267">
        <f t="shared" si="8"/>
        <v>0</v>
      </c>
      <c r="R19" s="267" t="str">
        <f>TB!AU11</f>
        <v>x6</v>
      </c>
      <c r="S19" s="267">
        <f>COUNTIF(N$12:N19,N19)</f>
        <v>8</v>
      </c>
      <c r="T19" s="267">
        <v>1</v>
      </c>
      <c r="U19" s="267">
        <f t="shared" si="9"/>
        <v>200</v>
      </c>
      <c r="V19" s="267" t="str">
        <f t="shared" si="10"/>
        <v>Acorus Calamus0</v>
      </c>
      <c r="W19" s="267" t="str">
        <f t="shared" si="20"/>
        <v/>
      </c>
      <c r="X19" s="267" t="str">
        <f>IF(W19&lt;&gt;"",1+COUNT(X$12:X18),"")</f>
        <v/>
      </c>
      <c r="Y19" s="267" t="str">
        <f t="shared" si="11"/>
        <v/>
      </c>
      <c r="Z19" s="267" t="str">
        <f t="shared" si="12"/>
        <v/>
      </c>
      <c r="AA19" s="267" t="str">
        <f t="shared" si="13"/>
        <v/>
      </c>
      <c r="AB19" s="267" t="str">
        <f t="shared" si="14"/>
        <v/>
      </c>
      <c r="AC19" s="267" t="str">
        <f t="shared" si="15"/>
        <v/>
      </c>
      <c r="AD19" s="267" t="str">
        <f t="shared" si="16"/>
        <v/>
      </c>
      <c r="AE19" s="267" t="str">
        <f t="shared" si="17"/>
        <v/>
      </c>
      <c r="AF19" s="267">
        <f t="shared" si="18"/>
        <v>0</v>
      </c>
      <c r="AG19" s="267" t="str">
        <f t="shared" si="19"/>
        <v/>
      </c>
      <c r="AH19" s="267" t="str">
        <f>IFERROR(RANK(AG19,AG$12:AG$211,1)+COUNTIF(AG$12:AG19,AG19)-1,"")</f>
        <v/>
      </c>
      <c r="AM19" s="267">
        <v>8</v>
      </c>
      <c r="AN19" s="267">
        <v>15</v>
      </c>
    </row>
    <row r="20" spans="1:40" x14ac:dyDescent="0.25">
      <c r="A20" s="267">
        <v>9</v>
      </c>
      <c r="B20" s="291" t="str">
        <f t="shared" si="0"/>
        <v/>
      </c>
      <c r="C20" s="292" t="str">
        <f t="shared" si="1"/>
        <v/>
      </c>
      <c r="D20" s="293" t="str">
        <f t="shared" si="3"/>
        <v/>
      </c>
      <c r="E20" s="294" t="str">
        <f t="shared" si="4"/>
        <v/>
      </c>
      <c r="F20" s="295" t="str">
        <f t="shared" si="5"/>
        <v/>
      </c>
      <c r="G20" s="281" t="str">
        <f t="shared" si="6"/>
        <v/>
      </c>
      <c r="H20" s="296" t="str">
        <f t="shared" si="7"/>
        <v/>
      </c>
      <c r="I20" s="297"/>
      <c r="J20" s="298"/>
      <c r="L20" s="267" t="str">
        <f>TB!AG12</f>
        <v>Acorus Calamus</v>
      </c>
      <c r="M20" s="267" t="str">
        <f>TB!AD12</f>
        <v/>
      </c>
      <c r="N20" s="267">
        <f>TB!AT12</f>
        <v>0</v>
      </c>
      <c r="O20" s="267">
        <f>TB!AV12</f>
        <v>38</v>
      </c>
      <c r="P20" s="267">
        <f t="shared" si="21"/>
        <v>0</v>
      </c>
      <c r="Q20" s="267">
        <f t="shared" si="8"/>
        <v>0</v>
      </c>
      <c r="R20" s="267" t="str">
        <f>TB!AU12</f>
        <v>x6</v>
      </c>
      <c r="S20" s="267">
        <f>COUNTIF(N$12:N20,N20)</f>
        <v>9</v>
      </c>
      <c r="T20" s="267">
        <v>1</v>
      </c>
      <c r="U20" s="267">
        <f t="shared" si="9"/>
        <v>200</v>
      </c>
      <c r="V20" s="267" t="str">
        <f t="shared" si="10"/>
        <v>Acorus Calamus0</v>
      </c>
      <c r="W20" s="267" t="str">
        <f t="shared" si="20"/>
        <v/>
      </c>
      <c r="X20" s="267" t="str">
        <f>IF(W20&lt;&gt;"",1+COUNT(X$12:X19),"")</f>
        <v/>
      </c>
      <c r="Y20" s="267" t="str">
        <f t="shared" si="11"/>
        <v/>
      </c>
      <c r="Z20" s="267" t="str">
        <f t="shared" si="12"/>
        <v/>
      </c>
      <c r="AA20" s="267" t="str">
        <f t="shared" si="13"/>
        <v/>
      </c>
      <c r="AB20" s="267" t="str">
        <f t="shared" si="14"/>
        <v/>
      </c>
      <c r="AC20" s="267" t="str">
        <f t="shared" si="15"/>
        <v/>
      </c>
      <c r="AD20" s="267" t="str">
        <f t="shared" si="16"/>
        <v/>
      </c>
      <c r="AE20" s="267" t="str">
        <f t="shared" si="17"/>
        <v/>
      </c>
      <c r="AF20" s="267">
        <f t="shared" si="18"/>
        <v>0</v>
      </c>
      <c r="AG20" s="267" t="str">
        <f t="shared" si="19"/>
        <v/>
      </c>
      <c r="AH20" s="267" t="str">
        <f>IFERROR(RANK(AG20,AG$12:AG$211,1)+COUNTIF(AG$12:AG20,AG20)-1,"")</f>
        <v/>
      </c>
      <c r="AM20" s="267">
        <v>9</v>
      </c>
      <c r="AN20" s="267">
        <v>17</v>
      </c>
    </row>
    <row r="21" spans="1:40" x14ac:dyDescent="0.25">
      <c r="A21" s="267">
        <v>10</v>
      </c>
      <c r="B21" s="299" t="str">
        <f t="shared" si="0"/>
        <v/>
      </c>
      <c r="C21" s="300" t="str">
        <f t="shared" si="1"/>
        <v/>
      </c>
      <c r="D21" s="301" t="str">
        <f t="shared" si="3"/>
        <v/>
      </c>
      <c r="E21" s="302" t="str">
        <f t="shared" si="4"/>
        <v/>
      </c>
      <c r="F21" s="303" t="str">
        <f t="shared" si="5"/>
        <v/>
      </c>
      <c r="G21" s="304" t="str">
        <f t="shared" si="6"/>
        <v/>
      </c>
      <c r="H21" s="305" t="str">
        <f t="shared" si="7"/>
        <v/>
      </c>
      <c r="I21" s="306"/>
      <c r="J21" s="307"/>
      <c r="L21" s="267" t="str">
        <f>TB!AG13</f>
        <v>Acorus Calamus</v>
      </c>
      <c r="M21" s="267" t="str">
        <f>TB!AD13</f>
        <v/>
      </c>
      <c r="N21" s="267">
        <f>TB!AT13</f>
        <v>0</v>
      </c>
      <c r="O21" s="267">
        <f>TB!AV13</f>
        <v>38</v>
      </c>
      <c r="P21" s="267">
        <f t="shared" si="21"/>
        <v>0</v>
      </c>
      <c r="Q21" s="267">
        <f t="shared" si="8"/>
        <v>0</v>
      </c>
      <c r="R21" s="267" t="str">
        <f>TB!AU13</f>
        <v>x6</v>
      </c>
      <c r="S21" s="267">
        <f>COUNTIF(N$12:N21,N21)</f>
        <v>10</v>
      </c>
      <c r="T21" s="267">
        <v>1</v>
      </c>
      <c r="U21" s="267">
        <f t="shared" si="9"/>
        <v>200</v>
      </c>
      <c r="V21" s="267" t="str">
        <f t="shared" si="10"/>
        <v>Acorus Calamus0</v>
      </c>
      <c r="W21" s="267" t="str">
        <f t="shared" si="20"/>
        <v/>
      </c>
      <c r="X21" s="267" t="str">
        <f>IF(W21&lt;&gt;"",1+COUNT(X$12:X20),"")</f>
        <v/>
      </c>
      <c r="Y21" s="267" t="str">
        <f t="shared" si="11"/>
        <v/>
      </c>
      <c r="Z21" s="267" t="str">
        <f t="shared" si="12"/>
        <v/>
      </c>
      <c r="AA21" s="267" t="str">
        <f t="shared" si="13"/>
        <v/>
      </c>
      <c r="AB21" s="267" t="str">
        <f t="shared" si="14"/>
        <v/>
      </c>
      <c r="AC21" s="267" t="str">
        <f t="shared" si="15"/>
        <v/>
      </c>
      <c r="AD21" s="267" t="str">
        <f t="shared" si="16"/>
        <v/>
      </c>
      <c r="AE21" s="267" t="str">
        <f t="shared" si="17"/>
        <v/>
      </c>
      <c r="AF21" s="267">
        <f t="shared" si="18"/>
        <v>0</v>
      </c>
      <c r="AG21" s="267" t="str">
        <f t="shared" si="19"/>
        <v/>
      </c>
      <c r="AH21" s="267" t="str">
        <f>IFERROR(RANK(AG21,AG$12:AG$211,1)+COUNTIF(AG$12:AG21,AG21)-1,"")</f>
        <v/>
      </c>
      <c r="AM21" s="267">
        <v>10</v>
      </c>
      <c r="AN21" s="267">
        <v>19</v>
      </c>
    </row>
    <row r="22" spans="1:40" x14ac:dyDescent="0.25">
      <c r="A22" s="267">
        <v>11</v>
      </c>
      <c r="B22" s="291" t="str">
        <f t="shared" si="0"/>
        <v/>
      </c>
      <c r="C22" s="292" t="str">
        <f t="shared" si="1"/>
        <v/>
      </c>
      <c r="D22" s="293" t="str">
        <f t="shared" si="3"/>
        <v/>
      </c>
      <c r="E22" s="294" t="str">
        <f t="shared" si="4"/>
        <v/>
      </c>
      <c r="F22" s="295" t="str">
        <f t="shared" si="5"/>
        <v/>
      </c>
      <c r="G22" s="281" t="str">
        <f t="shared" si="6"/>
        <v/>
      </c>
      <c r="H22" s="296" t="str">
        <f t="shared" si="7"/>
        <v/>
      </c>
      <c r="I22" s="297"/>
      <c r="J22" s="298"/>
      <c r="L22" s="267" t="str">
        <f>TB!AG14</f>
        <v>Acorus Calamus</v>
      </c>
      <c r="M22" s="267" t="str">
        <f>TB!AD14</f>
        <v/>
      </c>
      <c r="N22" s="267">
        <f>TB!AT14</f>
        <v>0</v>
      </c>
      <c r="O22" s="267">
        <f>TB!AV14</f>
        <v>38</v>
      </c>
      <c r="P22" s="267">
        <f t="shared" si="21"/>
        <v>0</v>
      </c>
      <c r="Q22" s="267">
        <f t="shared" si="8"/>
        <v>0</v>
      </c>
      <c r="R22" s="267" t="str">
        <f>TB!AU14</f>
        <v>x6</v>
      </c>
      <c r="S22" s="267">
        <f>COUNTIF(N$12:N22,N22)</f>
        <v>11</v>
      </c>
      <c r="T22" s="267">
        <v>1</v>
      </c>
      <c r="U22" s="267">
        <f t="shared" si="9"/>
        <v>200</v>
      </c>
      <c r="V22" s="267" t="str">
        <f t="shared" si="10"/>
        <v>Acorus Calamus0</v>
      </c>
      <c r="W22" s="267" t="str">
        <f t="shared" si="20"/>
        <v/>
      </c>
      <c r="X22" s="267" t="str">
        <f>IF(W22&lt;&gt;"",1+COUNT(X$12:X21),"")</f>
        <v/>
      </c>
      <c r="Y22" s="267" t="str">
        <f t="shared" si="11"/>
        <v/>
      </c>
      <c r="Z22" s="267" t="str">
        <f t="shared" si="12"/>
        <v/>
      </c>
      <c r="AA22" s="267" t="str">
        <f t="shared" si="13"/>
        <v/>
      </c>
      <c r="AB22" s="267" t="str">
        <f t="shared" si="14"/>
        <v/>
      </c>
      <c r="AC22" s="267" t="str">
        <f t="shared" si="15"/>
        <v/>
      </c>
      <c r="AD22" s="267" t="str">
        <f t="shared" si="16"/>
        <v/>
      </c>
      <c r="AE22" s="267" t="str">
        <f t="shared" si="17"/>
        <v/>
      </c>
      <c r="AF22" s="267">
        <f t="shared" si="18"/>
        <v>0</v>
      </c>
      <c r="AG22" s="267" t="str">
        <f t="shared" si="19"/>
        <v/>
      </c>
      <c r="AH22" s="267" t="str">
        <f>IFERROR(RANK(AG22,AG$12:AG$211,1)+COUNTIF(AG$12:AG22,AG22)-1,"")</f>
        <v/>
      </c>
      <c r="AM22" s="267">
        <v>11</v>
      </c>
      <c r="AN22" s="267">
        <v>21</v>
      </c>
    </row>
    <row r="23" spans="1:40" x14ac:dyDescent="0.25">
      <c r="A23" s="267">
        <v>12</v>
      </c>
      <c r="B23" s="299" t="str">
        <f t="shared" si="0"/>
        <v/>
      </c>
      <c r="C23" s="300" t="str">
        <f t="shared" si="1"/>
        <v/>
      </c>
      <c r="D23" s="301" t="str">
        <f t="shared" si="3"/>
        <v/>
      </c>
      <c r="E23" s="302" t="str">
        <f t="shared" si="4"/>
        <v/>
      </c>
      <c r="F23" s="303" t="str">
        <f t="shared" si="5"/>
        <v/>
      </c>
      <c r="G23" s="304" t="str">
        <f t="shared" si="6"/>
        <v/>
      </c>
      <c r="H23" s="305" t="str">
        <f t="shared" si="7"/>
        <v/>
      </c>
      <c r="I23" s="306"/>
      <c r="J23" s="307"/>
      <c r="L23" s="267" t="str">
        <f>TB!AG15</f>
        <v>Acorus Calamus</v>
      </c>
      <c r="M23" s="267" t="str">
        <f>TB!AD15</f>
        <v/>
      </c>
      <c r="N23" s="267">
        <f>TB!AT15</f>
        <v>0</v>
      </c>
      <c r="O23" s="267">
        <f>TB!AV15</f>
        <v>38</v>
      </c>
      <c r="P23" s="267">
        <f t="shared" si="21"/>
        <v>0</v>
      </c>
      <c r="Q23" s="267">
        <f t="shared" si="8"/>
        <v>0</v>
      </c>
      <c r="R23" s="267" t="str">
        <f>TB!AU15</f>
        <v>x6</v>
      </c>
      <c r="S23" s="267">
        <f>COUNTIF(N$12:N23,N23)</f>
        <v>12</v>
      </c>
      <c r="T23" s="267">
        <v>1</v>
      </c>
      <c r="U23" s="267">
        <f t="shared" si="9"/>
        <v>200</v>
      </c>
      <c r="V23" s="267" t="str">
        <f t="shared" si="10"/>
        <v>Acorus Calamus0</v>
      </c>
      <c r="W23" s="267" t="str">
        <f t="shared" si="20"/>
        <v/>
      </c>
      <c r="X23" s="267" t="str">
        <f>IF(W23&lt;&gt;"",1+COUNT(X$12:X22),"")</f>
        <v/>
      </c>
      <c r="Y23" s="267" t="str">
        <f t="shared" si="11"/>
        <v/>
      </c>
      <c r="Z23" s="267" t="str">
        <f t="shared" si="12"/>
        <v/>
      </c>
      <c r="AA23" s="267" t="str">
        <f t="shared" si="13"/>
        <v/>
      </c>
      <c r="AB23" s="267" t="str">
        <f t="shared" si="14"/>
        <v/>
      </c>
      <c r="AC23" s="267" t="str">
        <f t="shared" si="15"/>
        <v/>
      </c>
      <c r="AD23" s="267" t="str">
        <f t="shared" si="16"/>
        <v/>
      </c>
      <c r="AE23" s="267" t="str">
        <f t="shared" si="17"/>
        <v/>
      </c>
      <c r="AF23" s="267">
        <f t="shared" si="18"/>
        <v>0</v>
      </c>
      <c r="AG23" s="267" t="str">
        <f t="shared" si="19"/>
        <v/>
      </c>
      <c r="AH23" s="267" t="str">
        <f>IFERROR(RANK(AG23,AG$12:AG$211,1)+COUNTIF(AG$12:AG23,AG23)-1,"")</f>
        <v/>
      </c>
      <c r="AM23" s="267">
        <v>12</v>
      </c>
      <c r="AN23" s="267">
        <v>23</v>
      </c>
    </row>
    <row r="24" spans="1:40" x14ac:dyDescent="0.25">
      <c r="A24" s="267">
        <v>13</v>
      </c>
      <c r="B24" s="291" t="str">
        <f t="shared" si="0"/>
        <v/>
      </c>
      <c r="C24" s="292" t="str">
        <f t="shared" si="1"/>
        <v/>
      </c>
      <c r="D24" s="293" t="str">
        <f t="shared" si="3"/>
        <v/>
      </c>
      <c r="E24" s="294" t="str">
        <f t="shared" si="4"/>
        <v/>
      </c>
      <c r="F24" s="295" t="str">
        <f t="shared" si="5"/>
        <v/>
      </c>
      <c r="G24" s="281" t="str">
        <f t="shared" si="6"/>
        <v/>
      </c>
      <c r="H24" s="296" t="str">
        <f t="shared" si="7"/>
        <v/>
      </c>
      <c r="I24" s="297"/>
      <c r="J24" s="298"/>
      <c r="L24" s="267" t="str">
        <f>TB!AG16</f>
        <v>Acorus Calamus</v>
      </c>
      <c r="M24" s="267" t="str">
        <f>TB!AD16</f>
        <v/>
      </c>
      <c r="N24" s="267">
        <f>TB!AT16</f>
        <v>0</v>
      </c>
      <c r="O24" s="267">
        <f>TB!AV16</f>
        <v>38</v>
      </c>
      <c r="P24" s="267">
        <f t="shared" si="21"/>
        <v>0</v>
      </c>
      <c r="Q24" s="267">
        <f t="shared" si="8"/>
        <v>0</v>
      </c>
      <c r="R24" s="267" t="str">
        <f>TB!AU16</f>
        <v>x6</v>
      </c>
      <c r="S24" s="267">
        <f>COUNTIF(N$12:N24,N24)</f>
        <v>13</v>
      </c>
      <c r="T24" s="267">
        <v>1</v>
      </c>
      <c r="U24" s="267">
        <f t="shared" si="9"/>
        <v>200</v>
      </c>
      <c r="V24" s="267" t="str">
        <f t="shared" si="10"/>
        <v>Acorus Calamus0</v>
      </c>
      <c r="W24" s="267" t="str">
        <f t="shared" si="20"/>
        <v/>
      </c>
      <c r="X24" s="267" t="str">
        <f>IF(W24&lt;&gt;"",1+COUNT(X$12:X23),"")</f>
        <v/>
      </c>
      <c r="Y24" s="267" t="str">
        <f t="shared" si="11"/>
        <v/>
      </c>
      <c r="Z24" s="267" t="str">
        <f t="shared" si="12"/>
        <v/>
      </c>
      <c r="AA24" s="267" t="str">
        <f t="shared" si="13"/>
        <v/>
      </c>
      <c r="AB24" s="267" t="str">
        <f t="shared" si="14"/>
        <v/>
      </c>
      <c r="AC24" s="267" t="str">
        <f t="shared" si="15"/>
        <v/>
      </c>
      <c r="AD24" s="267" t="str">
        <f t="shared" si="16"/>
        <v/>
      </c>
      <c r="AE24" s="267" t="str">
        <f t="shared" si="17"/>
        <v/>
      </c>
      <c r="AF24" s="267">
        <f t="shared" si="18"/>
        <v>0</v>
      </c>
      <c r="AG24" s="267" t="str">
        <f t="shared" si="19"/>
        <v/>
      </c>
      <c r="AH24" s="267" t="str">
        <f>IFERROR(RANK(AG24,AG$12:AG$211,1)+COUNTIF(AG$12:AG24,AG24)-1,"")</f>
        <v/>
      </c>
      <c r="AM24" s="267">
        <v>13</v>
      </c>
      <c r="AN24" s="267">
        <v>25</v>
      </c>
    </row>
    <row r="25" spans="1:40" x14ac:dyDescent="0.25">
      <c r="A25" s="267">
        <v>14</v>
      </c>
      <c r="B25" s="299" t="str">
        <f t="shared" si="0"/>
        <v/>
      </c>
      <c r="C25" s="300" t="str">
        <f t="shared" si="1"/>
        <v/>
      </c>
      <c r="D25" s="301" t="str">
        <f t="shared" si="3"/>
        <v/>
      </c>
      <c r="E25" s="302" t="str">
        <f t="shared" si="4"/>
        <v/>
      </c>
      <c r="F25" s="303" t="str">
        <f t="shared" si="5"/>
        <v/>
      </c>
      <c r="G25" s="304" t="str">
        <f t="shared" si="6"/>
        <v/>
      </c>
      <c r="H25" s="305" t="str">
        <f t="shared" si="7"/>
        <v/>
      </c>
      <c r="I25" s="306"/>
      <c r="J25" s="307"/>
      <c r="L25" s="267" t="str">
        <f>TB!AG17</f>
        <v>Acorus Calamus</v>
      </c>
      <c r="M25" s="267" t="str">
        <f>TB!AD17</f>
        <v/>
      </c>
      <c r="N25" s="267">
        <f>TB!AT17</f>
        <v>0</v>
      </c>
      <c r="O25" s="267">
        <f>TB!AV17</f>
        <v>38</v>
      </c>
      <c r="P25" s="267">
        <f t="shared" si="21"/>
        <v>0</v>
      </c>
      <c r="Q25" s="267">
        <f t="shared" si="8"/>
        <v>0</v>
      </c>
      <c r="R25" s="267" t="str">
        <f>TB!AU17</f>
        <v>x6</v>
      </c>
      <c r="S25" s="267">
        <f>COUNTIF(N$12:N25,N25)</f>
        <v>14</v>
      </c>
      <c r="T25" s="267">
        <v>1</v>
      </c>
      <c r="U25" s="267">
        <f t="shared" si="9"/>
        <v>200</v>
      </c>
      <c r="V25" s="267" t="str">
        <f t="shared" si="10"/>
        <v>Acorus Calamus0</v>
      </c>
      <c r="W25" s="267" t="str">
        <f t="shared" si="20"/>
        <v/>
      </c>
      <c r="X25" s="267" t="str">
        <f>IF(W25&lt;&gt;"",1+COUNT(X$12:X24),"")</f>
        <v/>
      </c>
      <c r="Y25" s="267" t="str">
        <f t="shared" si="11"/>
        <v/>
      </c>
      <c r="Z25" s="267" t="str">
        <f t="shared" si="12"/>
        <v/>
      </c>
      <c r="AA25" s="267" t="str">
        <f t="shared" si="13"/>
        <v/>
      </c>
      <c r="AB25" s="267" t="str">
        <f t="shared" si="14"/>
        <v/>
      </c>
      <c r="AC25" s="267" t="str">
        <f t="shared" si="15"/>
        <v/>
      </c>
      <c r="AD25" s="267" t="str">
        <f t="shared" si="16"/>
        <v/>
      </c>
      <c r="AE25" s="267" t="str">
        <f t="shared" si="17"/>
        <v/>
      </c>
      <c r="AF25" s="267">
        <f t="shared" si="18"/>
        <v>0</v>
      </c>
      <c r="AG25" s="267" t="str">
        <f t="shared" si="19"/>
        <v/>
      </c>
      <c r="AH25" s="267" t="str">
        <f>IFERROR(RANK(AG25,AG$12:AG$211,1)+COUNTIF(AG$12:AG25,AG25)-1,"")</f>
        <v/>
      </c>
      <c r="AM25" s="267">
        <v>14</v>
      </c>
      <c r="AN25" s="267">
        <v>27</v>
      </c>
    </row>
    <row r="26" spans="1:40" x14ac:dyDescent="0.25">
      <c r="A26" s="267">
        <v>15</v>
      </c>
      <c r="B26" s="291" t="str">
        <f t="shared" si="0"/>
        <v/>
      </c>
      <c r="C26" s="292" t="str">
        <f t="shared" si="1"/>
        <v/>
      </c>
      <c r="D26" s="293" t="str">
        <f t="shared" si="3"/>
        <v/>
      </c>
      <c r="E26" s="294" t="str">
        <f t="shared" si="4"/>
        <v/>
      </c>
      <c r="F26" s="295" t="str">
        <f t="shared" si="5"/>
        <v/>
      </c>
      <c r="G26" s="281" t="str">
        <f t="shared" si="6"/>
        <v/>
      </c>
      <c r="H26" s="296" t="str">
        <f t="shared" si="7"/>
        <v/>
      </c>
      <c r="I26" s="297"/>
      <c r="J26" s="298"/>
      <c r="L26" s="267" t="str">
        <f>TB!AG18</f>
        <v>Acorus Calamus</v>
      </c>
      <c r="M26" s="267" t="str">
        <f>TB!AD18</f>
        <v/>
      </c>
      <c r="N26" s="267">
        <f>TB!AT18</f>
        <v>0</v>
      </c>
      <c r="O26" s="267">
        <f>TB!AV18</f>
        <v>38</v>
      </c>
      <c r="P26" s="267">
        <f t="shared" si="21"/>
        <v>0</v>
      </c>
      <c r="Q26" s="267">
        <f t="shared" si="8"/>
        <v>0</v>
      </c>
      <c r="R26" s="267" t="str">
        <f>TB!AU18</f>
        <v>x6</v>
      </c>
      <c r="S26" s="267">
        <f>COUNTIF(N$12:N26,N26)</f>
        <v>15</v>
      </c>
      <c r="T26" s="267">
        <v>1</v>
      </c>
      <c r="U26" s="267">
        <f t="shared" si="9"/>
        <v>200</v>
      </c>
      <c r="V26" s="267" t="str">
        <f t="shared" si="10"/>
        <v>Acorus Calamus0</v>
      </c>
      <c r="W26" s="267" t="str">
        <f t="shared" si="20"/>
        <v/>
      </c>
      <c r="X26" s="267" t="str">
        <f>IF(W26&lt;&gt;"",1+COUNT(X$12:X25),"")</f>
        <v/>
      </c>
      <c r="Y26" s="267" t="str">
        <f t="shared" si="11"/>
        <v/>
      </c>
      <c r="Z26" s="267" t="str">
        <f t="shared" si="12"/>
        <v/>
      </c>
      <c r="AA26" s="267" t="str">
        <f t="shared" si="13"/>
        <v/>
      </c>
      <c r="AB26" s="267" t="str">
        <f t="shared" si="14"/>
        <v/>
      </c>
      <c r="AC26" s="267" t="str">
        <f t="shared" si="15"/>
        <v/>
      </c>
      <c r="AD26" s="267" t="str">
        <f t="shared" si="16"/>
        <v/>
      </c>
      <c r="AE26" s="267" t="str">
        <f t="shared" si="17"/>
        <v/>
      </c>
      <c r="AF26" s="267">
        <f t="shared" si="18"/>
        <v>0</v>
      </c>
      <c r="AG26" s="267" t="str">
        <f t="shared" si="19"/>
        <v/>
      </c>
      <c r="AH26" s="267" t="str">
        <f>IFERROR(RANK(AG26,AG$12:AG$211,1)+COUNTIF(AG$12:AG26,AG26)-1,"")</f>
        <v/>
      </c>
      <c r="AM26" s="267">
        <v>15</v>
      </c>
      <c r="AN26" s="267">
        <v>29</v>
      </c>
    </row>
    <row r="27" spans="1:40" x14ac:dyDescent="0.25">
      <c r="A27" s="267">
        <v>16</v>
      </c>
      <c r="B27" s="299" t="str">
        <f t="shared" si="0"/>
        <v/>
      </c>
      <c r="C27" s="300" t="str">
        <f t="shared" si="1"/>
        <v/>
      </c>
      <c r="D27" s="301" t="str">
        <f t="shared" si="3"/>
        <v/>
      </c>
      <c r="E27" s="302" t="str">
        <f t="shared" si="4"/>
        <v/>
      </c>
      <c r="F27" s="303" t="str">
        <f t="shared" si="5"/>
        <v/>
      </c>
      <c r="G27" s="304" t="str">
        <f t="shared" si="6"/>
        <v/>
      </c>
      <c r="H27" s="305" t="str">
        <f t="shared" si="7"/>
        <v/>
      </c>
      <c r="I27" s="306"/>
      <c r="J27" s="307"/>
      <c r="L27" s="267" t="str">
        <f>TB!AG19</f>
        <v>Acorus Calamus</v>
      </c>
      <c r="M27" s="267" t="str">
        <f>TB!AD19</f>
        <v/>
      </c>
      <c r="N27" s="267">
        <f>TB!AT19</f>
        <v>0</v>
      </c>
      <c r="O27" s="267">
        <f>TB!AV19</f>
        <v>38</v>
      </c>
      <c r="P27" s="267">
        <f t="shared" si="21"/>
        <v>0</v>
      </c>
      <c r="Q27" s="267">
        <f t="shared" si="8"/>
        <v>0</v>
      </c>
      <c r="R27" s="267" t="str">
        <f>TB!AU19</f>
        <v>x6</v>
      </c>
      <c r="S27" s="267">
        <f>COUNTIF(N$12:N27,N27)</f>
        <v>16</v>
      </c>
      <c r="T27" s="267">
        <v>1</v>
      </c>
      <c r="U27" s="267">
        <f t="shared" si="9"/>
        <v>200</v>
      </c>
      <c r="V27" s="267" t="str">
        <f t="shared" si="10"/>
        <v>Acorus Calamus0</v>
      </c>
      <c r="W27" s="267" t="str">
        <f t="shared" si="20"/>
        <v/>
      </c>
      <c r="X27" s="267" t="str">
        <f>IF(W27&lt;&gt;"",1+COUNT(X$12:X26),"")</f>
        <v/>
      </c>
      <c r="Y27" s="267" t="str">
        <f t="shared" si="11"/>
        <v/>
      </c>
      <c r="Z27" s="267" t="str">
        <f t="shared" si="12"/>
        <v/>
      </c>
      <c r="AA27" s="267" t="str">
        <f t="shared" si="13"/>
        <v/>
      </c>
      <c r="AB27" s="267" t="str">
        <f t="shared" si="14"/>
        <v/>
      </c>
      <c r="AC27" s="267" t="str">
        <f t="shared" si="15"/>
        <v/>
      </c>
      <c r="AD27" s="267" t="str">
        <f t="shared" si="16"/>
        <v/>
      </c>
      <c r="AE27" s="267" t="str">
        <f t="shared" ref="AE27:AE76" si="22">IF(X27&lt;&gt;"",O27,"")</f>
        <v/>
      </c>
      <c r="AF27" s="267">
        <f t="shared" si="18"/>
        <v>0</v>
      </c>
      <c r="AG27" s="267" t="str">
        <f t="shared" si="19"/>
        <v/>
      </c>
      <c r="AH27" s="267" t="str">
        <f>IFERROR(RANK(AG27,AG$12:AG$211,1)+COUNTIF(AG$12:AG27,AG27)-1,"")</f>
        <v/>
      </c>
      <c r="AM27" s="267">
        <v>16</v>
      </c>
      <c r="AN27" s="267">
        <v>31</v>
      </c>
    </row>
    <row r="28" spans="1:40" x14ac:dyDescent="0.25">
      <c r="A28" s="267">
        <v>17</v>
      </c>
      <c r="B28" s="291" t="str">
        <f t="shared" si="0"/>
        <v/>
      </c>
      <c r="C28" s="292" t="str">
        <f t="shared" si="1"/>
        <v/>
      </c>
      <c r="D28" s="293" t="str">
        <f t="shared" si="3"/>
        <v/>
      </c>
      <c r="E28" s="294" t="str">
        <f t="shared" si="4"/>
        <v/>
      </c>
      <c r="F28" s="295" t="str">
        <f t="shared" si="5"/>
        <v/>
      </c>
      <c r="G28" s="281" t="str">
        <f t="shared" si="6"/>
        <v/>
      </c>
      <c r="H28" s="296" t="str">
        <f t="shared" si="7"/>
        <v/>
      </c>
      <c r="I28" s="297"/>
      <c r="J28" s="298"/>
      <c r="L28" s="267" t="str">
        <f>TB!AG20</f>
        <v>Acorus Calamus</v>
      </c>
      <c r="M28" s="267" t="str">
        <f>TB!AD20</f>
        <v/>
      </c>
      <c r="N28" s="267">
        <f>TB!AT20</f>
        <v>0</v>
      </c>
      <c r="O28" s="267">
        <f>TB!AV20</f>
        <v>38</v>
      </c>
      <c r="P28" s="267">
        <f t="shared" si="21"/>
        <v>0</v>
      </c>
      <c r="Q28" s="267">
        <f t="shared" si="8"/>
        <v>0</v>
      </c>
      <c r="R28" s="267" t="str">
        <f>TB!AU20</f>
        <v>x6</v>
      </c>
      <c r="S28" s="267">
        <f>COUNTIF(N$12:N28,N28)</f>
        <v>17</v>
      </c>
      <c r="T28" s="267">
        <v>1</v>
      </c>
      <c r="U28" s="267">
        <f t="shared" si="9"/>
        <v>200</v>
      </c>
      <c r="V28" s="267" t="str">
        <f t="shared" si="10"/>
        <v>Acorus Calamus0</v>
      </c>
      <c r="W28" s="267" t="str">
        <f t="shared" si="20"/>
        <v/>
      </c>
      <c r="X28" s="267" t="str">
        <f>IF(W28&lt;&gt;"",1+COUNT(X$12:X27),"")</f>
        <v/>
      </c>
      <c r="Y28" s="267" t="str">
        <f t="shared" si="11"/>
        <v/>
      </c>
      <c r="Z28" s="267" t="str">
        <f t="shared" si="12"/>
        <v/>
      </c>
      <c r="AA28" s="267" t="str">
        <f t="shared" si="13"/>
        <v/>
      </c>
      <c r="AB28" s="267" t="str">
        <f t="shared" si="14"/>
        <v/>
      </c>
      <c r="AC28" s="267" t="str">
        <f t="shared" si="15"/>
        <v/>
      </c>
      <c r="AD28" s="267" t="str">
        <f t="shared" si="16"/>
        <v/>
      </c>
      <c r="AE28" s="267" t="str">
        <f t="shared" si="22"/>
        <v/>
      </c>
      <c r="AF28" s="267">
        <f t="shared" si="18"/>
        <v>0</v>
      </c>
      <c r="AG28" s="267" t="str">
        <f t="shared" si="19"/>
        <v/>
      </c>
      <c r="AH28" s="267" t="str">
        <f>IFERROR(RANK(AG28,AG$12:AG$211,1)+COUNTIF(AG$12:AG28,AG28)-1,"")</f>
        <v/>
      </c>
      <c r="AM28" s="267">
        <v>17</v>
      </c>
      <c r="AN28" s="267">
        <v>33</v>
      </c>
    </row>
    <row r="29" spans="1:40" x14ac:dyDescent="0.25">
      <c r="A29" s="267">
        <v>18</v>
      </c>
      <c r="B29" s="299" t="str">
        <f t="shared" si="0"/>
        <v/>
      </c>
      <c r="C29" s="300" t="str">
        <f t="shared" si="1"/>
        <v/>
      </c>
      <c r="D29" s="301" t="str">
        <f t="shared" si="3"/>
        <v/>
      </c>
      <c r="E29" s="302" t="str">
        <f t="shared" si="4"/>
        <v/>
      </c>
      <c r="F29" s="303" t="str">
        <f t="shared" si="5"/>
        <v/>
      </c>
      <c r="G29" s="304" t="str">
        <f t="shared" si="6"/>
        <v/>
      </c>
      <c r="H29" s="305" t="str">
        <f t="shared" si="7"/>
        <v/>
      </c>
      <c r="I29" s="306"/>
      <c r="J29" s="307"/>
      <c r="L29" s="267" t="str">
        <f>TB!AG21</f>
        <v>Acorus Calamus</v>
      </c>
      <c r="M29" s="267" t="str">
        <f>TB!AD21</f>
        <v/>
      </c>
      <c r="N29" s="267">
        <f>TB!AT21</f>
        <v>0</v>
      </c>
      <c r="O29" s="267">
        <f>TB!AV21</f>
        <v>38</v>
      </c>
      <c r="P29" s="267">
        <f t="shared" si="21"/>
        <v>0</v>
      </c>
      <c r="Q29" s="267">
        <f t="shared" si="8"/>
        <v>0</v>
      </c>
      <c r="R29" s="267" t="str">
        <f>TB!AU21</f>
        <v>x6</v>
      </c>
      <c r="S29" s="267">
        <f>COUNTIF(N$12:N29,N29)</f>
        <v>18</v>
      </c>
      <c r="T29" s="267">
        <v>1</v>
      </c>
      <c r="U29" s="267">
        <f t="shared" si="9"/>
        <v>200</v>
      </c>
      <c r="V29" s="267" t="str">
        <f t="shared" si="10"/>
        <v>Acorus Calamus0</v>
      </c>
      <c r="W29" s="267" t="str">
        <f t="shared" si="20"/>
        <v/>
      </c>
      <c r="X29" s="267" t="str">
        <f>IF(W29&lt;&gt;"",1+COUNT(X$12:X28),"")</f>
        <v/>
      </c>
      <c r="Y29" s="267" t="str">
        <f t="shared" si="11"/>
        <v/>
      </c>
      <c r="Z29" s="267" t="str">
        <f t="shared" si="12"/>
        <v/>
      </c>
      <c r="AA29" s="267" t="str">
        <f t="shared" si="13"/>
        <v/>
      </c>
      <c r="AB29" s="267" t="str">
        <f t="shared" si="14"/>
        <v/>
      </c>
      <c r="AC29" s="267" t="str">
        <f t="shared" si="15"/>
        <v/>
      </c>
      <c r="AD29" s="267" t="str">
        <f t="shared" si="16"/>
        <v/>
      </c>
      <c r="AE29" s="267" t="str">
        <f t="shared" si="22"/>
        <v/>
      </c>
      <c r="AF29" s="267">
        <f t="shared" si="18"/>
        <v>0</v>
      </c>
      <c r="AG29" s="267" t="str">
        <f t="shared" si="19"/>
        <v/>
      </c>
      <c r="AH29" s="267" t="str">
        <f>IFERROR(RANK(AG29,AG$12:AG$211,1)+COUNTIF(AG$12:AG29,AG29)-1,"")</f>
        <v/>
      </c>
      <c r="AM29" s="267">
        <v>18</v>
      </c>
      <c r="AN29" s="267">
        <v>35</v>
      </c>
    </row>
    <row r="30" spans="1:40" x14ac:dyDescent="0.25">
      <c r="A30" s="267">
        <v>19</v>
      </c>
      <c r="B30" s="291" t="str">
        <f t="shared" si="0"/>
        <v/>
      </c>
      <c r="C30" s="292" t="str">
        <f t="shared" si="1"/>
        <v/>
      </c>
      <c r="D30" s="293" t="str">
        <f t="shared" si="3"/>
        <v/>
      </c>
      <c r="E30" s="294" t="str">
        <f t="shared" si="4"/>
        <v/>
      </c>
      <c r="F30" s="295" t="str">
        <f t="shared" si="5"/>
        <v/>
      </c>
      <c r="G30" s="281" t="str">
        <f t="shared" si="6"/>
        <v/>
      </c>
      <c r="H30" s="296" t="str">
        <f t="shared" si="7"/>
        <v/>
      </c>
      <c r="I30" s="297"/>
      <c r="J30" s="298"/>
      <c r="L30" s="267" t="str">
        <f>TB!AG22</f>
        <v>Acorus Calamus</v>
      </c>
      <c r="M30" s="267" t="str">
        <f>TB!AD22</f>
        <v/>
      </c>
      <c r="N30" s="267">
        <f>TB!AT22</f>
        <v>0</v>
      </c>
      <c r="O30" s="267">
        <f>TB!AV22</f>
        <v>38</v>
      </c>
      <c r="P30" s="267">
        <f t="shared" si="21"/>
        <v>0</v>
      </c>
      <c r="Q30" s="267">
        <f t="shared" si="8"/>
        <v>0</v>
      </c>
      <c r="R30" s="267" t="str">
        <f>TB!AU22</f>
        <v>x6</v>
      </c>
      <c r="S30" s="267">
        <f>COUNTIF(N$12:N30,N30)</f>
        <v>19</v>
      </c>
      <c r="T30" s="267">
        <v>1</v>
      </c>
      <c r="U30" s="267">
        <f t="shared" si="9"/>
        <v>200</v>
      </c>
      <c r="V30" s="267" t="str">
        <f t="shared" si="10"/>
        <v>Acorus Calamus0</v>
      </c>
      <c r="W30" s="267" t="str">
        <f t="shared" si="20"/>
        <v/>
      </c>
      <c r="X30" s="267" t="str">
        <f>IF(W30&lt;&gt;"",1+COUNT(X$12:X29),"")</f>
        <v/>
      </c>
      <c r="Y30" s="267" t="str">
        <f t="shared" si="11"/>
        <v/>
      </c>
      <c r="Z30" s="267" t="str">
        <f t="shared" si="12"/>
        <v/>
      </c>
      <c r="AA30" s="267" t="str">
        <f t="shared" si="13"/>
        <v/>
      </c>
      <c r="AB30" s="267" t="str">
        <f t="shared" si="14"/>
        <v/>
      </c>
      <c r="AC30" s="267" t="str">
        <f t="shared" si="15"/>
        <v/>
      </c>
      <c r="AD30" s="267" t="str">
        <f t="shared" si="16"/>
        <v/>
      </c>
      <c r="AE30" s="267" t="str">
        <f t="shared" si="22"/>
        <v/>
      </c>
      <c r="AF30" s="267">
        <f t="shared" si="18"/>
        <v>0</v>
      </c>
      <c r="AG30" s="267" t="str">
        <f t="shared" si="19"/>
        <v/>
      </c>
      <c r="AH30" s="267" t="str">
        <f>IFERROR(RANK(AG30,AG$12:AG$211,1)+COUNTIF(AG$12:AG30,AG30)-1,"")</f>
        <v/>
      </c>
      <c r="AM30" s="267">
        <v>19</v>
      </c>
      <c r="AN30" s="267">
        <v>37</v>
      </c>
    </row>
    <row r="31" spans="1:40" x14ac:dyDescent="0.25">
      <c r="A31" s="267">
        <v>20</v>
      </c>
      <c r="B31" s="299" t="str">
        <f t="shared" si="0"/>
        <v/>
      </c>
      <c r="C31" s="300" t="str">
        <f t="shared" si="1"/>
        <v/>
      </c>
      <c r="D31" s="301" t="str">
        <f t="shared" si="3"/>
        <v/>
      </c>
      <c r="E31" s="302" t="str">
        <f t="shared" si="4"/>
        <v/>
      </c>
      <c r="F31" s="303" t="str">
        <f t="shared" si="5"/>
        <v/>
      </c>
      <c r="G31" s="304" t="str">
        <f t="shared" si="6"/>
        <v/>
      </c>
      <c r="H31" s="305" t="str">
        <f t="shared" si="7"/>
        <v/>
      </c>
      <c r="I31" s="306"/>
      <c r="J31" s="307"/>
      <c r="L31" s="267" t="str">
        <f>TB!AG23</f>
        <v>Acorus Calamus</v>
      </c>
      <c r="M31" s="267" t="str">
        <f>TB!AD23</f>
        <v/>
      </c>
      <c r="N31" s="267">
        <f>TB!AT23</f>
        <v>0</v>
      </c>
      <c r="O31" s="267">
        <f>TB!AV23</f>
        <v>38</v>
      </c>
      <c r="P31" s="267">
        <f t="shared" si="21"/>
        <v>0</v>
      </c>
      <c r="Q31" s="267">
        <f t="shared" si="8"/>
        <v>0</v>
      </c>
      <c r="R31" s="267" t="str">
        <f>TB!AU23</f>
        <v>x6</v>
      </c>
      <c r="S31" s="267">
        <f>COUNTIF(N$12:N31,N31)</f>
        <v>20</v>
      </c>
      <c r="T31" s="267">
        <v>1</v>
      </c>
      <c r="U31" s="267">
        <f t="shared" si="9"/>
        <v>200</v>
      </c>
      <c r="V31" s="267" t="str">
        <f t="shared" si="10"/>
        <v>Acorus Calamus0</v>
      </c>
      <c r="W31" s="267" t="str">
        <f t="shared" si="20"/>
        <v/>
      </c>
      <c r="X31" s="267" t="str">
        <f>IF(W31&lt;&gt;"",1+COUNT(X$12:X30),"")</f>
        <v/>
      </c>
      <c r="Y31" s="267" t="str">
        <f t="shared" si="11"/>
        <v/>
      </c>
      <c r="Z31" s="267" t="str">
        <f t="shared" si="12"/>
        <v/>
      </c>
      <c r="AA31" s="267" t="str">
        <f t="shared" si="13"/>
        <v/>
      </c>
      <c r="AB31" s="267" t="str">
        <f t="shared" si="14"/>
        <v/>
      </c>
      <c r="AC31" s="267" t="str">
        <f t="shared" si="15"/>
        <v/>
      </c>
      <c r="AD31" s="267" t="str">
        <f t="shared" si="16"/>
        <v/>
      </c>
      <c r="AE31" s="267" t="str">
        <f t="shared" si="22"/>
        <v/>
      </c>
      <c r="AF31" s="267">
        <f t="shared" si="18"/>
        <v>0</v>
      </c>
      <c r="AG31" s="267" t="str">
        <f t="shared" si="19"/>
        <v/>
      </c>
      <c r="AH31" s="267" t="str">
        <f>IFERROR(RANK(AG31,AG$12:AG$211,1)+COUNTIF(AG$12:AG31,AG31)-1,"")</f>
        <v/>
      </c>
      <c r="AM31" s="267">
        <v>20</v>
      </c>
      <c r="AN31" s="267">
        <v>38</v>
      </c>
    </row>
    <row r="32" spans="1:40" x14ac:dyDescent="0.25">
      <c r="A32" s="267">
        <v>21</v>
      </c>
      <c r="B32" s="291" t="str">
        <f t="shared" si="0"/>
        <v/>
      </c>
      <c r="C32" s="292" t="str">
        <f t="shared" si="1"/>
        <v/>
      </c>
      <c r="D32" s="293" t="str">
        <f t="shared" si="3"/>
        <v/>
      </c>
      <c r="E32" s="294" t="str">
        <f t="shared" si="4"/>
        <v/>
      </c>
      <c r="F32" s="295" t="str">
        <f t="shared" si="5"/>
        <v/>
      </c>
      <c r="G32" s="281" t="str">
        <f t="shared" si="6"/>
        <v/>
      </c>
      <c r="H32" s="296" t="str">
        <f t="shared" si="7"/>
        <v/>
      </c>
      <c r="I32" s="297"/>
      <c r="J32" s="298"/>
      <c r="L32" s="267" t="str">
        <f>TB!AG24</f>
        <v>Acorus Calamus</v>
      </c>
      <c r="M32" s="267" t="str">
        <f>TB!AD24</f>
        <v/>
      </c>
      <c r="N32" s="267">
        <f>TB!AT24</f>
        <v>0</v>
      </c>
      <c r="O32" s="267">
        <f>TB!AV24</f>
        <v>38</v>
      </c>
      <c r="P32" s="267">
        <f t="shared" si="21"/>
        <v>0</v>
      </c>
      <c r="Q32" s="267">
        <f t="shared" si="8"/>
        <v>0</v>
      </c>
      <c r="R32" s="267" t="str">
        <f>TB!AU24</f>
        <v>x6</v>
      </c>
      <c r="S32" s="267">
        <f>COUNTIF(N$12:N32,N32)</f>
        <v>21</v>
      </c>
      <c r="T32" s="267">
        <v>1</v>
      </c>
      <c r="U32" s="267">
        <f t="shared" si="9"/>
        <v>200</v>
      </c>
      <c r="V32" s="267" t="str">
        <f t="shared" si="10"/>
        <v>Acorus Calamus0</v>
      </c>
      <c r="W32" s="267" t="str">
        <f t="shared" si="20"/>
        <v/>
      </c>
      <c r="X32" s="267" t="str">
        <f>IF(W32&lt;&gt;"",1+COUNT(X$12:X31),"")</f>
        <v/>
      </c>
      <c r="Y32" s="267" t="str">
        <f t="shared" si="11"/>
        <v/>
      </c>
      <c r="Z32" s="267" t="str">
        <f t="shared" si="12"/>
        <v/>
      </c>
      <c r="AA32" s="267" t="str">
        <f t="shared" si="13"/>
        <v/>
      </c>
      <c r="AB32" s="267" t="str">
        <f t="shared" si="14"/>
        <v/>
      </c>
      <c r="AC32" s="267" t="str">
        <f t="shared" si="15"/>
        <v/>
      </c>
      <c r="AD32" s="267" t="str">
        <f t="shared" si="16"/>
        <v/>
      </c>
      <c r="AE32" s="267" t="str">
        <f t="shared" si="22"/>
        <v/>
      </c>
      <c r="AF32" s="267">
        <f t="shared" si="18"/>
        <v>0</v>
      </c>
      <c r="AG32" s="267" t="str">
        <f t="shared" si="19"/>
        <v/>
      </c>
      <c r="AH32" s="267" t="str">
        <f>IFERROR(RANK(AG32,AG$12:AG$211,1)+COUNTIF(AG$12:AG32,AG32)-1,"")</f>
        <v/>
      </c>
      <c r="AM32" s="267">
        <v>21</v>
      </c>
      <c r="AN32" s="267">
        <v>36</v>
      </c>
    </row>
    <row r="33" spans="1:40" x14ac:dyDescent="0.25">
      <c r="A33" s="267">
        <v>22</v>
      </c>
      <c r="B33" s="299" t="str">
        <f t="shared" si="0"/>
        <v/>
      </c>
      <c r="C33" s="300" t="str">
        <f t="shared" si="1"/>
        <v/>
      </c>
      <c r="D33" s="301" t="str">
        <f t="shared" si="3"/>
        <v/>
      </c>
      <c r="E33" s="302" t="str">
        <f t="shared" si="4"/>
        <v/>
      </c>
      <c r="F33" s="303" t="str">
        <f t="shared" si="5"/>
        <v/>
      </c>
      <c r="G33" s="304" t="str">
        <f t="shared" si="6"/>
        <v/>
      </c>
      <c r="H33" s="305" t="str">
        <f t="shared" si="7"/>
        <v/>
      </c>
      <c r="I33" s="306"/>
      <c r="J33" s="307"/>
      <c r="L33" s="267" t="str">
        <f>TB!AG25</f>
        <v>Acorus Calamus</v>
      </c>
      <c r="M33" s="267" t="str">
        <f>TB!AD25</f>
        <v/>
      </c>
      <c r="N33" s="267">
        <f>TB!AT25</f>
        <v>0</v>
      </c>
      <c r="O33" s="267">
        <f>TB!AV25</f>
        <v>38</v>
      </c>
      <c r="P33" s="267">
        <f t="shared" si="21"/>
        <v>0</v>
      </c>
      <c r="Q33" s="267">
        <f t="shared" si="8"/>
        <v>0</v>
      </c>
      <c r="R33" s="267" t="str">
        <f>TB!AU25</f>
        <v>x6</v>
      </c>
      <c r="S33" s="267">
        <f>COUNTIF(N$12:N33,N33)</f>
        <v>22</v>
      </c>
      <c r="T33" s="267">
        <v>1</v>
      </c>
      <c r="U33" s="267">
        <f t="shared" si="9"/>
        <v>200</v>
      </c>
      <c r="V33" s="267" t="str">
        <f t="shared" si="10"/>
        <v>Acorus Calamus0</v>
      </c>
      <c r="W33" s="267" t="str">
        <f t="shared" si="20"/>
        <v/>
      </c>
      <c r="X33" s="267" t="str">
        <f>IF(W33&lt;&gt;"",1+COUNT(X$12:X32),"")</f>
        <v/>
      </c>
      <c r="Y33" s="267" t="str">
        <f t="shared" si="11"/>
        <v/>
      </c>
      <c r="Z33" s="267" t="str">
        <f t="shared" si="12"/>
        <v/>
      </c>
      <c r="AA33" s="267" t="str">
        <f t="shared" si="13"/>
        <v/>
      </c>
      <c r="AB33" s="267" t="str">
        <f t="shared" si="14"/>
        <v/>
      </c>
      <c r="AC33" s="267" t="str">
        <f t="shared" si="15"/>
        <v/>
      </c>
      <c r="AD33" s="267" t="str">
        <f t="shared" si="16"/>
        <v/>
      </c>
      <c r="AE33" s="267" t="str">
        <f t="shared" si="22"/>
        <v/>
      </c>
      <c r="AF33" s="267">
        <f t="shared" si="18"/>
        <v>0</v>
      </c>
      <c r="AG33" s="267" t="str">
        <f t="shared" si="19"/>
        <v/>
      </c>
      <c r="AH33" s="267" t="str">
        <f>IFERROR(RANK(AG33,AG$12:AG$211,1)+COUNTIF(AG$12:AG33,AG33)-1,"")</f>
        <v/>
      </c>
      <c r="AM33" s="267">
        <v>22</v>
      </c>
      <c r="AN33" s="267">
        <v>34</v>
      </c>
    </row>
    <row r="34" spans="1:40" x14ac:dyDescent="0.25">
      <c r="A34" s="267">
        <v>23</v>
      </c>
      <c r="B34" s="291" t="str">
        <f t="shared" si="0"/>
        <v/>
      </c>
      <c r="C34" s="292" t="str">
        <f t="shared" si="1"/>
        <v/>
      </c>
      <c r="D34" s="293" t="str">
        <f t="shared" si="3"/>
        <v/>
      </c>
      <c r="E34" s="294" t="str">
        <f t="shared" si="4"/>
        <v/>
      </c>
      <c r="F34" s="295" t="str">
        <f t="shared" si="5"/>
        <v/>
      </c>
      <c r="G34" s="281" t="str">
        <f t="shared" si="6"/>
        <v/>
      </c>
      <c r="H34" s="296" t="str">
        <f t="shared" si="7"/>
        <v/>
      </c>
      <c r="I34" s="297"/>
      <c r="J34" s="298"/>
      <c r="L34" s="267" t="str">
        <f>TB!AG26</f>
        <v>Acorus Calamus</v>
      </c>
      <c r="M34" s="267" t="str">
        <f>TB!AD26</f>
        <v/>
      </c>
      <c r="N34" s="267">
        <f>TB!AT26</f>
        <v>0</v>
      </c>
      <c r="O34" s="267">
        <f>TB!AV26</f>
        <v>38</v>
      </c>
      <c r="P34" s="267">
        <f t="shared" si="21"/>
        <v>0</v>
      </c>
      <c r="Q34" s="267">
        <f t="shared" si="8"/>
        <v>0</v>
      </c>
      <c r="R34" s="267" t="str">
        <f>TB!AU26</f>
        <v>x6</v>
      </c>
      <c r="S34" s="267">
        <f>COUNTIF(N$12:N34,N34)</f>
        <v>23</v>
      </c>
      <c r="T34" s="267">
        <v>1</v>
      </c>
      <c r="U34" s="267">
        <f t="shared" si="9"/>
        <v>200</v>
      </c>
      <c r="V34" s="267" t="str">
        <f t="shared" si="10"/>
        <v>Acorus Calamus0</v>
      </c>
      <c r="W34" s="267" t="str">
        <f t="shared" si="20"/>
        <v/>
      </c>
      <c r="X34" s="267" t="str">
        <f>IF(W34&lt;&gt;"",1+COUNT(X$12:X33),"")</f>
        <v/>
      </c>
      <c r="Y34" s="267" t="str">
        <f t="shared" si="11"/>
        <v/>
      </c>
      <c r="Z34" s="267" t="str">
        <f t="shared" si="12"/>
        <v/>
      </c>
      <c r="AA34" s="267" t="str">
        <f t="shared" si="13"/>
        <v/>
      </c>
      <c r="AB34" s="267" t="str">
        <f t="shared" si="14"/>
        <v/>
      </c>
      <c r="AC34" s="267" t="str">
        <f t="shared" si="15"/>
        <v/>
      </c>
      <c r="AD34" s="267" t="str">
        <f t="shared" si="16"/>
        <v/>
      </c>
      <c r="AE34" s="267" t="str">
        <f t="shared" si="22"/>
        <v/>
      </c>
      <c r="AF34" s="267">
        <f t="shared" si="18"/>
        <v>0</v>
      </c>
      <c r="AG34" s="267" t="str">
        <f t="shared" si="19"/>
        <v/>
      </c>
      <c r="AH34" s="267" t="str">
        <f>IFERROR(RANK(AG34,AG$12:AG$211,1)+COUNTIF(AG$12:AG34,AG34)-1,"")</f>
        <v/>
      </c>
      <c r="AM34" s="267">
        <v>23</v>
      </c>
      <c r="AN34" s="267">
        <v>32</v>
      </c>
    </row>
    <row r="35" spans="1:40" x14ac:dyDescent="0.25">
      <c r="A35" s="267">
        <v>24</v>
      </c>
      <c r="B35" s="299" t="str">
        <f t="shared" si="0"/>
        <v/>
      </c>
      <c r="C35" s="300" t="str">
        <f t="shared" si="1"/>
        <v/>
      </c>
      <c r="D35" s="301" t="str">
        <f t="shared" si="3"/>
        <v/>
      </c>
      <c r="E35" s="302" t="str">
        <f t="shared" si="4"/>
        <v/>
      </c>
      <c r="F35" s="303" t="str">
        <f t="shared" si="5"/>
        <v/>
      </c>
      <c r="G35" s="304" t="str">
        <f t="shared" si="6"/>
        <v/>
      </c>
      <c r="H35" s="305" t="str">
        <f t="shared" si="7"/>
        <v/>
      </c>
      <c r="I35" s="306"/>
      <c r="J35" s="307"/>
      <c r="L35" s="267" t="str">
        <f>TB!AG27</f>
        <v>Acorus Calamus</v>
      </c>
      <c r="M35" s="267" t="str">
        <f>TB!AD27</f>
        <v/>
      </c>
      <c r="N35" s="267">
        <f>TB!AT27</f>
        <v>0</v>
      </c>
      <c r="O35" s="267">
        <f>TB!AV27</f>
        <v>38</v>
      </c>
      <c r="P35" s="267">
        <f t="shared" si="21"/>
        <v>0</v>
      </c>
      <c r="Q35" s="267">
        <f t="shared" si="8"/>
        <v>0</v>
      </c>
      <c r="R35" s="267" t="str">
        <f>TB!AU27</f>
        <v>x6</v>
      </c>
      <c r="S35" s="267">
        <f>COUNTIF(N$12:N35,N35)</f>
        <v>24</v>
      </c>
      <c r="T35" s="267">
        <v>1</v>
      </c>
      <c r="U35" s="267">
        <f t="shared" si="9"/>
        <v>200</v>
      </c>
      <c r="V35" s="267" t="str">
        <f t="shared" si="10"/>
        <v>Acorus Calamus0</v>
      </c>
      <c r="W35" s="267" t="str">
        <f t="shared" si="20"/>
        <v/>
      </c>
      <c r="X35" s="267" t="str">
        <f>IF(W35&lt;&gt;"",1+COUNT(X$12:X34),"")</f>
        <v/>
      </c>
      <c r="Y35" s="267" t="str">
        <f t="shared" si="11"/>
        <v/>
      </c>
      <c r="Z35" s="267" t="str">
        <f t="shared" si="12"/>
        <v/>
      </c>
      <c r="AA35" s="267" t="str">
        <f t="shared" si="13"/>
        <v/>
      </c>
      <c r="AB35" s="267" t="str">
        <f t="shared" si="14"/>
        <v/>
      </c>
      <c r="AC35" s="267" t="str">
        <f t="shared" si="15"/>
        <v/>
      </c>
      <c r="AD35" s="267" t="str">
        <f t="shared" si="16"/>
        <v/>
      </c>
      <c r="AE35" s="267" t="str">
        <f t="shared" si="22"/>
        <v/>
      </c>
      <c r="AF35" s="267">
        <f t="shared" si="18"/>
        <v>0</v>
      </c>
      <c r="AG35" s="267" t="str">
        <f t="shared" si="19"/>
        <v/>
      </c>
      <c r="AH35" s="267" t="str">
        <f>IFERROR(RANK(AG35,AG$12:AG$211,1)+COUNTIF(AG$12:AG35,AG35)-1,"")</f>
        <v/>
      </c>
      <c r="AM35" s="267">
        <v>24</v>
      </c>
      <c r="AN35" s="267">
        <v>30</v>
      </c>
    </row>
    <row r="36" spans="1:40" x14ac:dyDescent="0.25">
      <c r="A36" s="267">
        <v>25</v>
      </c>
      <c r="B36" s="291" t="str">
        <f t="shared" si="0"/>
        <v/>
      </c>
      <c r="C36" s="292" t="str">
        <f t="shared" si="1"/>
        <v/>
      </c>
      <c r="D36" s="293" t="str">
        <f t="shared" si="3"/>
        <v/>
      </c>
      <c r="E36" s="294" t="str">
        <f t="shared" si="4"/>
        <v/>
      </c>
      <c r="F36" s="295" t="str">
        <f t="shared" si="5"/>
        <v/>
      </c>
      <c r="G36" s="281" t="str">
        <f t="shared" si="6"/>
        <v/>
      </c>
      <c r="H36" s="296" t="str">
        <f t="shared" si="7"/>
        <v/>
      </c>
      <c r="I36" s="297"/>
      <c r="J36" s="298"/>
      <c r="L36" s="267" t="str">
        <f>TB!AG28</f>
        <v>Acorus Calamus</v>
      </c>
      <c r="M36" s="267" t="str">
        <f>TB!AD28</f>
        <v/>
      </c>
      <c r="N36" s="267">
        <f>TB!AT28</f>
        <v>0</v>
      </c>
      <c r="O36" s="267">
        <f>TB!AV28</f>
        <v>38</v>
      </c>
      <c r="P36" s="267">
        <f t="shared" si="21"/>
        <v>0</v>
      </c>
      <c r="Q36" s="267">
        <f t="shared" si="8"/>
        <v>0</v>
      </c>
      <c r="R36" s="267" t="str">
        <f>TB!AU28</f>
        <v>x6</v>
      </c>
      <c r="S36" s="267">
        <f>COUNTIF(N$12:N36,N36)</f>
        <v>25</v>
      </c>
      <c r="T36" s="267">
        <v>1</v>
      </c>
      <c r="U36" s="267">
        <f t="shared" si="9"/>
        <v>200</v>
      </c>
      <c r="V36" s="267" t="str">
        <f t="shared" si="10"/>
        <v>Acorus Calamus0</v>
      </c>
      <c r="W36" s="267" t="str">
        <f t="shared" si="20"/>
        <v/>
      </c>
      <c r="X36" s="267" t="str">
        <f>IF(W36&lt;&gt;"",1+COUNT(X$12:X35),"")</f>
        <v/>
      </c>
      <c r="Y36" s="267" t="str">
        <f t="shared" si="11"/>
        <v/>
      </c>
      <c r="Z36" s="267" t="str">
        <f t="shared" si="12"/>
        <v/>
      </c>
      <c r="AA36" s="267" t="str">
        <f t="shared" si="13"/>
        <v/>
      </c>
      <c r="AB36" s="267" t="str">
        <f t="shared" si="14"/>
        <v/>
      </c>
      <c r="AC36" s="267" t="str">
        <f t="shared" si="15"/>
        <v/>
      </c>
      <c r="AD36" s="267" t="str">
        <f t="shared" si="16"/>
        <v/>
      </c>
      <c r="AE36" s="267" t="str">
        <f t="shared" si="22"/>
        <v/>
      </c>
      <c r="AF36" s="267">
        <f t="shared" si="18"/>
        <v>0</v>
      </c>
      <c r="AG36" s="267" t="str">
        <f t="shared" si="19"/>
        <v/>
      </c>
      <c r="AH36" s="267" t="str">
        <f>IFERROR(RANK(AG36,AG$12:AG$211,1)+COUNTIF(AG$12:AG36,AG36)-1,"")</f>
        <v/>
      </c>
      <c r="AM36" s="267">
        <v>25</v>
      </c>
      <c r="AN36" s="267">
        <v>28</v>
      </c>
    </row>
    <row r="37" spans="1:40" x14ac:dyDescent="0.25">
      <c r="A37" s="267">
        <v>26</v>
      </c>
      <c r="B37" s="299" t="str">
        <f t="shared" si="0"/>
        <v/>
      </c>
      <c r="C37" s="300" t="str">
        <f t="shared" si="1"/>
        <v/>
      </c>
      <c r="D37" s="301" t="str">
        <f t="shared" si="3"/>
        <v/>
      </c>
      <c r="E37" s="302" t="str">
        <f t="shared" si="4"/>
        <v/>
      </c>
      <c r="F37" s="303" t="str">
        <f t="shared" si="5"/>
        <v/>
      </c>
      <c r="G37" s="304" t="str">
        <f t="shared" si="6"/>
        <v/>
      </c>
      <c r="H37" s="305" t="str">
        <f t="shared" si="7"/>
        <v/>
      </c>
      <c r="I37" s="306"/>
      <c r="J37" s="307"/>
      <c r="L37" s="267" t="str">
        <f>TB!AG29</f>
        <v>Acorus Calamus</v>
      </c>
      <c r="M37" s="267" t="str">
        <f>TB!AD29</f>
        <v/>
      </c>
      <c r="N37" s="267">
        <f>TB!AT29</f>
        <v>0</v>
      </c>
      <c r="O37" s="267">
        <f>TB!AV29</f>
        <v>38</v>
      </c>
      <c r="P37" s="267">
        <f t="shared" si="21"/>
        <v>0</v>
      </c>
      <c r="Q37" s="267">
        <f t="shared" si="8"/>
        <v>0</v>
      </c>
      <c r="R37" s="267" t="str">
        <f>TB!AU29</f>
        <v>x6</v>
      </c>
      <c r="S37" s="267">
        <f>COUNTIF(N$12:N37,N37)</f>
        <v>26</v>
      </c>
      <c r="T37" s="267">
        <v>1</v>
      </c>
      <c r="U37" s="267">
        <f t="shared" si="9"/>
        <v>200</v>
      </c>
      <c r="V37" s="267" t="str">
        <f t="shared" si="10"/>
        <v>Acorus Calamus0</v>
      </c>
      <c r="W37" s="267" t="str">
        <f t="shared" si="20"/>
        <v/>
      </c>
      <c r="X37" s="267" t="str">
        <f>IF(W37&lt;&gt;"",1+COUNT(X$12:X36),"")</f>
        <v/>
      </c>
      <c r="Y37" s="267" t="str">
        <f t="shared" si="11"/>
        <v/>
      </c>
      <c r="Z37" s="267" t="str">
        <f t="shared" si="12"/>
        <v/>
      </c>
      <c r="AA37" s="267" t="str">
        <f t="shared" si="13"/>
        <v/>
      </c>
      <c r="AB37" s="267" t="str">
        <f t="shared" si="14"/>
        <v/>
      </c>
      <c r="AC37" s="267" t="str">
        <f t="shared" si="15"/>
        <v/>
      </c>
      <c r="AD37" s="267" t="str">
        <f t="shared" si="16"/>
        <v/>
      </c>
      <c r="AE37" s="267" t="str">
        <f t="shared" si="22"/>
        <v/>
      </c>
      <c r="AF37" s="267">
        <f t="shared" si="18"/>
        <v>0</v>
      </c>
      <c r="AG37" s="267" t="str">
        <f t="shared" si="19"/>
        <v/>
      </c>
      <c r="AH37" s="267" t="str">
        <f>IFERROR(RANK(AG37,AG$12:AG$211,1)+COUNTIF(AG$12:AG37,AG37)-1,"")</f>
        <v/>
      </c>
      <c r="AM37" s="267">
        <v>26</v>
      </c>
      <c r="AN37" s="267">
        <v>26</v>
      </c>
    </row>
    <row r="38" spans="1:40" x14ac:dyDescent="0.25">
      <c r="A38" s="267">
        <v>27</v>
      </c>
      <c r="B38" s="291" t="str">
        <f t="shared" si="0"/>
        <v/>
      </c>
      <c r="C38" s="292" t="str">
        <f t="shared" si="1"/>
        <v/>
      </c>
      <c r="D38" s="293" t="str">
        <f t="shared" si="3"/>
        <v/>
      </c>
      <c r="E38" s="294" t="str">
        <f t="shared" si="4"/>
        <v/>
      </c>
      <c r="F38" s="295" t="str">
        <f t="shared" si="5"/>
        <v/>
      </c>
      <c r="G38" s="281" t="str">
        <f t="shared" si="6"/>
        <v/>
      </c>
      <c r="H38" s="296" t="str">
        <f t="shared" si="7"/>
        <v/>
      </c>
      <c r="I38" s="297"/>
      <c r="J38" s="298"/>
      <c r="L38" s="267" t="str">
        <f>TB!AG30</f>
        <v>Acorus Calamus</v>
      </c>
      <c r="M38" s="267" t="str">
        <f>TB!AD30</f>
        <v/>
      </c>
      <c r="N38" s="267">
        <f>TB!AT30</f>
        <v>0</v>
      </c>
      <c r="O38" s="267">
        <f>TB!AV30</f>
        <v>38</v>
      </c>
      <c r="P38" s="267">
        <f t="shared" si="21"/>
        <v>0</v>
      </c>
      <c r="Q38" s="267">
        <f t="shared" si="8"/>
        <v>0</v>
      </c>
      <c r="R38" s="267" t="str">
        <f>TB!AU30</f>
        <v>x6</v>
      </c>
      <c r="S38" s="267">
        <f>COUNTIF(N$12:N38,N38)</f>
        <v>27</v>
      </c>
      <c r="T38" s="267">
        <v>1</v>
      </c>
      <c r="U38" s="267">
        <f t="shared" si="9"/>
        <v>200</v>
      </c>
      <c r="V38" s="267" t="str">
        <f t="shared" si="10"/>
        <v>Acorus Calamus0</v>
      </c>
      <c r="W38" s="267" t="str">
        <f t="shared" si="20"/>
        <v/>
      </c>
      <c r="X38" s="267" t="str">
        <f>IF(W38&lt;&gt;"",1+COUNT(X$12:X37),"")</f>
        <v/>
      </c>
      <c r="Y38" s="267" t="str">
        <f t="shared" si="11"/>
        <v/>
      </c>
      <c r="Z38" s="267" t="str">
        <f t="shared" si="12"/>
        <v/>
      </c>
      <c r="AA38" s="267" t="str">
        <f t="shared" si="13"/>
        <v/>
      </c>
      <c r="AB38" s="267" t="str">
        <f t="shared" si="14"/>
        <v/>
      </c>
      <c r="AC38" s="267" t="str">
        <f t="shared" si="15"/>
        <v/>
      </c>
      <c r="AD38" s="267" t="str">
        <f t="shared" si="16"/>
        <v/>
      </c>
      <c r="AE38" s="267" t="str">
        <f t="shared" si="22"/>
        <v/>
      </c>
      <c r="AF38" s="267">
        <f t="shared" si="18"/>
        <v>0</v>
      </c>
      <c r="AG38" s="267" t="str">
        <f t="shared" si="19"/>
        <v/>
      </c>
      <c r="AH38" s="267" t="str">
        <f>IFERROR(RANK(AG38,AG$12:AG$211,1)+COUNTIF(AG$12:AG38,AG38)-1,"")</f>
        <v/>
      </c>
      <c r="AM38" s="267">
        <v>27</v>
      </c>
      <c r="AN38" s="267">
        <v>24</v>
      </c>
    </row>
    <row r="39" spans="1:40" x14ac:dyDescent="0.25">
      <c r="A39" s="267">
        <v>28</v>
      </c>
      <c r="B39" s="299" t="str">
        <f t="shared" si="0"/>
        <v/>
      </c>
      <c r="C39" s="300" t="str">
        <f t="shared" si="1"/>
        <v/>
      </c>
      <c r="D39" s="301" t="str">
        <f t="shared" si="3"/>
        <v/>
      </c>
      <c r="E39" s="302" t="str">
        <f t="shared" si="4"/>
        <v/>
      </c>
      <c r="F39" s="303" t="str">
        <f t="shared" si="5"/>
        <v/>
      </c>
      <c r="G39" s="304" t="str">
        <f t="shared" si="6"/>
        <v/>
      </c>
      <c r="H39" s="305" t="str">
        <f t="shared" si="7"/>
        <v/>
      </c>
      <c r="I39" s="306"/>
      <c r="J39" s="307"/>
      <c r="L39" s="267" t="str">
        <f>TB!AG31</f>
        <v>Acorus Calamus</v>
      </c>
      <c r="M39" s="267" t="str">
        <f>TB!AD31</f>
        <v/>
      </c>
      <c r="N39" s="267">
        <f>TB!AT31</f>
        <v>0</v>
      </c>
      <c r="O39" s="267">
        <f>TB!AV31</f>
        <v>38</v>
      </c>
      <c r="P39" s="267">
        <f t="shared" si="21"/>
        <v>0</v>
      </c>
      <c r="Q39" s="267">
        <f t="shared" si="8"/>
        <v>0</v>
      </c>
      <c r="R39" s="267" t="str">
        <f>TB!AU31</f>
        <v>x6</v>
      </c>
      <c r="S39" s="267">
        <f>COUNTIF(N$12:N39,N39)</f>
        <v>28</v>
      </c>
      <c r="T39" s="267">
        <v>1</v>
      </c>
      <c r="U39" s="267">
        <f t="shared" si="9"/>
        <v>200</v>
      </c>
      <c r="V39" s="267" t="str">
        <f t="shared" si="10"/>
        <v>Acorus Calamus0</v>
      </c>
      <c r="W39" s="267" t="str">
        <f t="shared" si="20"/>
        <v/>
      </c>
      <c r="X39" s="267" t="str">
        <f>IF(W39&lt;&gt;"",1+COUNT(X$12:X38),"")</f>
        <v/>
      </c>
      <c r="Y39" s="267" t="str">
        <f t="shared" si="11"/>
        <v/>
      </c>
      <c r="Z39" s="267" t="str">
        <f t="shared" si="12"/>
        <v/>
      </c>
      <c r="AA39" s="267" t="str">
        <f t="shared" si="13"/>
        <v/>
      </c>
      <c r="AB39" s="267" t="str">
        <f t="shared" si="14"/>
        <v/>
      </c>
      <c r="AC39" s="267" t="str">
        <f t="shared" si="15"/>
        <v/>
      </c>
      <c r="AD39" s="267" t="str">
        <f t="shared" si="16"/>
        <v/>
      </c>
      <c r="AE39" s="267" t="str">
        <f t="shared" si="22"/>
        <v/>
      </c>
      <c r="AF39" s="267">
        <f t="shared" si="18"/>
        <v>0</v>
      </c>
      <c r="AG39" s="267" t="str">
        <f t="shared" si="19"/>
        <v/>
      </c>
      <c r="AH39" s="267" t="str">
        <f>IFERROR(RANK(AG39,AG$12:AG$211,1)+COUNTIF(AG$12:AG39,AG39)-1,"")</f>
        <v/>
      </c>
      <c r="AM39" s="267">
        <v>28</v>
      </c>
      <c r="AN39" s="267">
        <v>22</v>
      </c>
    </row>
    <row r="40" spans="1:40" x14ac:dyDescent="0.25">
      <c r="A40" s="267">
        <v>29</v>
      </c>
      <c r="B40" s="291" t="str">
        <f t="shared" si="0"/>
        <v/>
      </c>
      <c r="C40" s="292" t="str">
        <f t="shared" si="1"/>
        <v/>
      </c>
      <c r="D40" s="293" t="str">
        <f t="shared" si="3"/>
        <v/>
      </c>
      <c r="E40" s="294" t="str">
        <f t="shared" si="4"/>
        <v/>
      </c>
      <c r="F40" s="295" t="str">
        <f t="shared" si="5"/>
        <v/>
      </c>
      <c r="G40" s="281" t="str">
        <f t="shared" si="6"/>
        <v/>
      </c>
      <c r="H40" s="296" t="str">
        <f t="shared" si="7"/>
        <v/>
      </c>
      <c r="I40" s="297"/>
      <c r="J40" s="298"/>
      <c r="L40" s="267" t="str">
        <f>TB!AG32</f>
        <v>Acorus Calamus</v>
      </c>
      <c r="M40" s="267" t="str">
        <f>TB!AD32</f>
        <v/>
      </c>
      <c r="N40" s="267">
        <f>TB!AT32</f>
        <v>0</v>
      </c>
      <c r="O40" s="267">
        <f>TB!AV32</f>
        <v>38</v>
      </c>
      <c r="P40" s="267">
        <f t="shared" si="21"/>
        <v>0</v>
      </c>
      <c r="Q40" s="267">
        <f t="shared" si="8"/>
        <v>0</v>
      </c>
      <c r="R40" s="267" t="str">
        <f>TB!AU32</f>
        <v>x6</v>
      </c>
      <c r="S40" s="267">
        <f>COUNTIF(N$12:N40,N40)</f>
        <v>29</v>
      </c>
      <c r="T40" s="267">
        <v>1</v>
      </c>
      <c r="U40" s="267">
        <f t="shared" si="9"/>
        <v>200</v>
      </c>
      <c r="V40" s="267" t="str">
        <f t="shared" si="10"/>
        <v>Acorus Calamus0</v>
      </c>
      <c r="W40" s="267" t="str">
        <f t="shared" si="20"/>
        <v/>
      </c>
      <c r="X40" s="267" t="str">
        <f>IF(W40&lt;&gt;"",1+COUNT(X$12:X39),"")</f>
        <v/>
      </c>
      <c r="Y40" s="267" t="str">
        <f t="shared" si="11"/>
        <v/>
      </c>
      <c r="Z40" s="267" t="str">
        <f t="shared" si="12"/>
        <v/>
      </c>
      <c r="AA40" s="267" t="str">
        <f t="shared" si="13"/>
        <v/>
      </c>
      <c r="AB40" s="267" t="str">
        <f t="shared" si="14"/>
        <v/>
      </c>
      <c r="AC40" s="267" t="str">
        <f t="shared" si="15"/>
        <v/>
      </c>
      <c r="AD40" s="267" t="str">
        <f t="shared" si="16"/>
        <v/>
      </c>
      <c r="AE40" s="267" t="str">
        <f t="shared" si="22"/>
        <v/>
      </c>
      <c r="AF40" s="267">
        <f t="shared" si="18"/>
        <v>0</v>
      </c>
      <c r="AG40" s="267" t="str">
        <f t="shared" si="19"/>
        <v/>
      </c>
      <c r="AH40" s="267" t="str">
        <f>IFERROR(RANK(AG40,AG$12:AG$211,1)+COUNTIF(AG$12:AG40,AG40)-1,"")</f>
        <v/>
      </c>
      <c r="AM40" s="267">
        <v>29</v>
      </c>
      <c r="AN40" s="267">
        <v>20</v>
      </c>
    </row>
    <row r="41" spans="1:40" x14ac:dyDescent="0.25">
      <c r="A41" s="267">
        <v>30</v>
      </c>
      <c r="B41" s="299" t="str">
        <f t="shared" si="0"/>
        <v/>
      </c>
      <c r="C41" s="300" t="str">
        <f t="shared" si="1"/>
        <v/>
      </c>
      <c r="D41" s="301" t="str">
        <f t="shared" si="3"/>
        <v/>
      </c>
      <c r="E41" s="302" t="str">
        <f t="shared" si="4"/>
        <v/>
      </c>
      <c r="F41" s="303" t="str">
        <f t="shared" si="5"/>
        <v/>
      </c>
      <c r="G41" s="304" t="str">
        <f t="shared" si="6"/>
        <v/>
      </c>
      <c r="H41" s="305" t="str">
        <f t="shared" si="7"/>
        <v/>
      </c>
      <c r="I41" s="306"/>
      <c r="J41" s="307"/>
      <c r="L41" s="267" t="str">
        <f>TB!AG33</f>
        <v>Acorus Calamus</v>
      </c>
      <c r="M41" s="267" t="str">
        <f>TB!AD33</f>
        <v/>
      </c>
      <c r="N41" s="267">
        <f>TB!AT33</f>
        <v>0</v>
      </c>
      <c r="O41" s="267">
        <f>TB!AV33</f>
        <v>38</v>
      </c>
      <c r="P41" s="267">
        <f t="shared" si="21"/>
        <v>0</v>
      </c>
      <c r="Q41" s="267">
        <f t="shared" si="8"/>
        <v>0</v>
      </c>
      <c r="R41" s="267" t="str">
        <f>TB!AU33</f>
        <v>x6</v>
      </c>
      <c r="S41" s="267">
        <f>COUNTIF(N$12:N41,N41)</f>
        <v>30</v>
      </c>
      <c r="T41" s="267">
        <v>1</v>
      </c>
      <c r="U41" s="267">
        <f t="shared" si="9"/>
        <v>200</v>
      </c>
      <c r="V41" s="267" t="str">
        <f t="shared" si="10"/>
        <v>Acorus Calamus0</v>
      </c>
      <c r="W41" s="267" t="str">
        <f t="shared" si="20"/>
        <v/>
      </c>
      <c r="X41" s="267" t="str">
        <f>IF(W41&lt;&gt;"",1+COUNT(X$12:X40),"")</f>
        <v/>
      </c>
      <c r="Y41" s="267" t="str">
        <f t="shared" si="11"/>
        <v/>
      </c>
      <c r="Z41" s="267" t="str">
        <f t="shared" si="12"/>
        <v/>
      </c>
      <c r="AA41" s="267" t="str">
        <f t="shared" si="13"/>
        <v/>
      </c>
      <c r="AB41" s="267" t="str">
        <f t="shared" si="14"/>
        <v/>
      </c>
      <c r="AC41" s="267" t="str">
        <f t="shared" si="15"/>
        <v/>
      </c>
      <c r="AD41" s="267" t="str">
        <f t="shared" si="16"/>
        <v/>
      </c>
      <c r="AE41" s="267" t="str">
        <f t="shared" si="22"/>
        <v/>
      </c>
      <c r="AF41" s="267">
        <f t="shared" si="18"/>
        <v>0</v>
      </c>
      <c r="AG41" s="267" t="str">
        <f t="shared" si="19"/>
        <v/>
      </c>
      <c r="AH41" s="267" t="str">
        <f>IFERROR(RANK(AG41,AG$12:AG$211,1)+COUNTIF(AG$12:AG41,AG41)-1,"")</f>
        <v/>
      </c>
      <c r="AM41" s="267">
        <v>30</v>
      </c>
      <c r="AN41" s="267">
        <v>18</v>
      </c>
    </row>
    <row r="42" spans="1:40" x14ac:dyDescent="0.25">
      <c r="A42" s="267">
        <v>31</v>
      </c>
      <c r="B42" s="291" t="str">
        <f t="shared" si="0"/>
        <v/>
      </c>
      <c r="C42" s="292" t="str">
        <f t="shared" si="1"/>
        <v/>
      </c>
      <c r="D42" s="293" t="str">
        <f t="shared" si="3"/>
        <v/>
      </c>
      <c r="E42" s="294" t="str">
        <f t="shared" si="4"/>
        <v/>
      </c>
      <c r="F42" s="295" t="str">
        <f t="shared" si="5"/>
        <v/>
      </c>
      <c r="G42" s="281" t="str">
        <f t="shared" si="6"/>
        <v/>
      </c>
      <c r="H42" s="296" t="str">
        <f t="shared" si="7"/>
        <v/>
      </c>
      <c r="I42" s="297"/>
      <c r="J42" s="298"/>
      <c r="L42" s="267" t="str">
        <f>TB!AG34</f>
        <v>Acorus Calamus</v>
      </c>
      <c r="M42" s="267" t="str">
        <f>TB!AD34</f>
        <v/>
      </c>
      <c r="N42" s="267">
        <f>TB!AT34</f>
        <v>0</v>
      </c>
      <c r="O42" s="267">
        <f>TB!AV34</f>
        <v>38</v>
      </c>
      <c r="P42" s="267">
        <f t="shared" si="21"/>
        <v>0</v>
      </c>
      <c r="Q42" s="267">
        <f t="shared" si="8"/>
        <v>0</v>
      </c>
      <c r="R42" s="267" t="str">
        <f>TB!AU34</f>
        <v>x6</v>
      </c>
      <c r="S42" s="267">
        <f>COUNTIF(N$12:N42,N42)</f>
        <v>31</v>
      </c>
      <c r="T42" s="267">
        <v>1</v>
      </c>
      <c r="U42" s="267">
        <f t="shared" si="9"/>
        <v>200</v>
      </c>
      <c r="V42" s="267" t="str">
        <f t="shared" si="10"/>
        <v>Acorus Calamus0</v>
      </c>
      <c r="W42" s="267" t="str">
        <f t="shared" si="20"/>
        <v/>
      </c>
      <c r="X42" s="267" t="str">
        <f>IF(W42&lt;&gt;"",1+COUNT(X$12:X41),"")</f>
        <v/>
      </c>
      <c r="Y42" s="267" t="str">
        <f t="shared" si="11"/>
        <v/>
      </c>
      <c r="Z42" s="267" t="str">
        <f t="shared" si="12"/>
        <v/>
      </c>
      <c r="AA42" s="267" t="str">
        <f t="shared" si="13"/>
        <v/>
      </c>
      <c r="AB42" s="267" t="str">
        <f t="shared" si="14"/>
        <v/>
      </c>
      <c r="AC42" s="267" t="str">
        <f t="shared" si="15"/>
        <v/>
      </c>
      <c r="AD42" s="267" t="str">
        <f t="shared" si="16"/>
        <v/>
      </c>
      <c r="AE42" s="267" t="str">
        <f t="shared" si="22"/>
        <v/>
      </c>
      <c r="AF42" s="267">
        <f t="shared" si="18"/>
        <v>0</v>
      </c>
      <c r="AG42" s="267" t="str">
        <f t="shared" si="19"/>
        <v/>
      </c>
      <c r="AH42" s="267" t="str">
        <f>IFERROR(RANK(AG42,AG$12:AG$211,1)+COUNTIF(AG$12:AG42,AG42)-1,"")</f>
        <v/>
      </c>
      <c r="AM42" s="267">
        <v>31</v>
      </c>
      <c r="AN42" s="267">
        <v>16</v>
      </c>
    </row>
    <row r="43" spans="1:40" x14ac:dyDescent="0.25">
      <c r="A43" s="267">
        <v>32</v>
      </c>
      <c r="B43" s="299" t="str">
        <f t="shared" si="0"/>
        <v/>
      </c>
      <c r="C43" s="300" t="str">
        <f t="shared" si="1"/>
        <v/>
      </c>
      <c r="D43" s="301" t="str">
        <f t="shared" si="3"/>
        <v/>
      </c>
      <c r="E43" s="302" t="str">
        <f t="shared" si="4"/>
        <v/>
      </c>
      <c r="F43" s="303" t="str">
        <f t="shared" si="5"/>
        <v/>
      </c>
      <c r="G43" s="304" t="str">
        <f t="shared" si="6"/>
        <v/>
      </c>
      <c r="H43" s="305" t="str">
        <f t="shared" si="7"/>
        <v/>
      </c>
      <c r="I43" s="306"/>
      <c r="J43" s="307"/>
      <c r="L43" s="267" t="str">
        <f>TB!AG35</f>
        <v>Acorus Calamus</v>
      </c>
      <c r="M43" s="267" t="str">
        <f>TB!AD35</f>
        <v/>
      </c>
      <c r="N43" s="267">
        <f>TB!AT35</f>
        <v>0</v>
      </c>
      <c r="O43" s="267">
        <f>TB!AV35</f>
        <v>38</v>
      </c>
      <c r="P43" s="267">
        <f t="shared" si="21"/>
        <v>0</v>
      </c>
      <c r="Q43" s="267">
        <f t="shared" si="8"/>
        <v>0</v>
      </c>
      <c r="R43" s="267" t="str">
        <f>TB!AU35</f>
        <v>x6</v>
      </c>
      <c r="S43" s="267">
        <f>COUNTIF(N$12:N43,N43)</f>
        <v>32</v>
      </c>
      <c r="T43" s="267">
        <v>1</v>
      </c>
      <c r="U43" s="267">
        <f t="shared" si="9"/>
        <v>200</v>
      </c>
      <c r="V43" s="267" t="str">
        <f t="shared" si="10"/>
        <v>Acorus Calamus0</v>
      </c>
      <c r="W43" s="267" t="str">
        <f t="shared" si="20"/>
        <v/>
      </c>
      <c r="X43" s="267" t="str">
        <f>IF(W43&lt;&gt;"",1+COUNT(X$12:X42),"")</f>
        <v/>
      </c>
      <c r="Y43" s="267" t="str">
        <f t="shared" si="11"/>
        <v/>
      </c>
      <c r="Z43" s="267" t="str">
        <f t="shared" si="12"/>
        <v/>
      </c>
      <c r="AA43" s="267" t="str">
        <f t="shared" si="13"/>
        <v/>
      </c>
      <c r="AB43" s="267" t="str">
        <f t="shared" si="14"/>
        <v/>
      </c>
      <c r="AC43" s="267" t="str">
        <f t="shared" si="15"/>
        <v/>
      </c>
      <c r="AD43" s="267" t="str">
        <f t="shared" si="16"/>
        <v/>
      </c>
      <c r="AE43" s="267" t="str">
        <f t="shared" si="22"/>
        <v/>
      </c>
      <c r="AF43" s="267">
        <f t="shared" si="18"/>
        <v>0</v>
      </c>
      <c r="AG43" s="267" t="str">
        <f t="shared" si="19"/>
        <v/>
      </c>
      <c r="AH43" s="267" t="str">
        <f>IFERROR(RANK(AG43,AG$12:AG$211,1)+COUNTIF(AG$12:AG43,AG43)-1,"")</f>
        <v/>
      </c>
      <c r="AM43" s="267">
        <v>32</v>
      </c>
      <c r="AN43" s="267">
        <v>14</v>
      </c>
    </row>
    <row r="44" spans="1:40" x14ac:dyDescent="0.25">
      <c r="A44" s="267">
        <v>33</v>
      </c>
      <c r="B44" s="291" t="str">
        <f t="shared" ref="B44:B75" si="23">_xlfn.SINGLE(_xlfn.XLOOKUP(A44,AH$12:AH$211,Z$12:Z$211,""))</f>
        <v/>
      </c>
      <c r="C44" s="292" t="str">
        <f t="shared" ref="C44:C75" si="24">_xlfn.SINGLE(_xlfn.XLOOKUP(A44,AH$12:AH$211,AE$12:AE$211,""))</f>
        <v/>
      </c>
      <c r="D44" s="293" t="str">
        <f t="shared" si="3"/>
        <v/>
      </c>
      <c r="E44" s="294" t="str">
        <f t="shared" si="4"/>
        <v/>
      </c>
      <c r="F44" s="295" t="str">
        <f t="shared" si="5"/>
        <v/>
      </c>
      <c r="G44" s="281" t="str">
        <f t="shared" si="6"/>
        <v/>
      </c>
      <c r="H44" s="296" t="str">
        <f t="shared" si="7"/>
        <v/>
      </c>
      <c r="I44" s="297"/>
      <c r="J44" s="298"/>
      <c r="L44" s="267" t="str">
        <f>TB!AG36</f>
        <v>Acorus Calamus</v>
      </c>
      <c r="M44" s="267" t="str">
        <f>TB!AD36</f>
        <v/>
      </c>
      <c r="N44" s="267">
        <f>TB!AT36</f>
        <v>0</v>
      </c>
      <c r="O44" s="267">
        <f>TB!AV36</f>
        <v>38</v>
      </c>
      <c r="P44" s="267">
        <f t="shared" si="21"/>
        <v>0</v>
      </c>
      <c r="Q44" s="267">
        <f t="shared" si="8"/>
        <v>0</v>
      </c>
      <c r="R44" s="267" t="str">
        <f>TB!AU36</f>
        <v>x6</v>
      </c>
      <c r="S44" s="267">
        <f>COUNTIF(N$12:N44,N44)</f>
        <v>33</v>
      </c>
      <c r="T44" s="267">
        <v>1</v>
      </c>
      <c r="U44" s="267">
        <f t="shared" si="9"/>
        <v>200</v>
      </c>
      <c r="V44" s="267" t="str">
        <f t="shared" si="10"/>
        <v>Acorus Calamus0</v>
      </c>
      <c r="W44" s="267" t="str">
        <f t="shared" si="20"/>
        <v/>
      </c>
      <c r="X44" s="267" t="str">
        <f>IF(W44&lt;&gt;"",1+COUNT(X$12:X43),"")</f>
        <v/>
      </c>
      <c r="Y44" s="267" t="str">
        <f t="shared" si="11"/>
        <v/>
      </c>
      <c r="Z44" s="267" t="str">
        <f t="shared" si="12"/>
        <v/>
      </c>
      <c r="AA44" s="267" t="str">
        <f t="shared" si="13"/>
        <v/>
      </c>
      <c r="AB44" s="267" t="str">
        <f t="shared" si="14"/>
        <v/>
      </c>
      <c r="AC44" s="267" t="str">
        <f t="shared" si="15"/>
        <v/>
      </c>
      <c r="AD44" s="267" t="str">
        <f t="shared" si="16"/>
        <v/>
      </c>
      <c r="AE44" s="267" t="str">
        <f t="shared" si="22"/>
        <v/>
      </c>
      <c r="AF44" s="267">
        <f t="shared" si="18"/>
        <v>0</v>
      </c>
      <c r="AG44" s="267" t="str">
        <f t="shared" si="19"/>
        <v/>
      </c>
      <c r="AH44" s="267" t="str">
        <f>IFERROR(RANK(AG44,AG$12:AG$211,1)+COUNTIF(AG$12:AG44,AG44)-1,"")</f>
        <v/>
      </c>
      <c r="AM44" s="267">
        <v>33</v>
      </c>
      <c r="AN44" s="267">
        <v>12</v>
      </c>
    </row>
    <row r="45" spans="1:40" x14ac:dyDescent="0.25">
      <c r="A45" s="267">
        <v>34</v>
      </c>
      <c r="B45" s="299" t="str">
        <f t="shared" si="23"/>
        <v/>
      </c>
      <c r="C45" s="300" t="str">
        <f t="shared" si="24"/>
        <v/>
      </c>
      <c r="D45" s="301" t="str">
        <f t="shared" ref="D45:D76" si="25">_xlfn.SINGLE(_xlfn.XLOOKUP(A45,AH$12:AH$211,Y$12:Y$211,""))</f>
        <v/>
      </c>
      <c r="E45" s="302" t="str">
        <f t="shared" ref="E45:E61" si="26">_xlfn.SINGLE(_xlfn.XLOOKUP(A45,AH$12:AH$211,AA$12:AA$211,""))</f>
        <v/>
      </c>
      <c r="F45" s="303" t="str">
        <f t="shared" ref="F45:F76" si="27">_xlfn.SINGLE(_xlfn.XLOOKUP(A45,AH$12:AH$211,AB$12:AB$211,""))</f>
        <v/>
      </c>
      <c r="G45" s="304" t="str">
        <f t="shared" ref="G45:G76" si="28">_xlfn.SINGLE(_xlfn.XLOOKUP(A45,AH$12:AH$211,AC$12:AC$211,""))</f>
        <v/>
      </c>
      <c r="H45" s="305" t="str">
        <f t="shared" ref="H45:H76" si="29">_xlfn.SINGLE(_xlfn.XLOOKUP(A45,AH$12:AH$211,AD$12:AD$211,""))</f>
        <v/>
      </c>
      <c r="I45" s="306"/>
      <c r="J45" s="307"/>
      <c r="L45" s="267" t="str">
        <f>TB!AG37</f>
        <v>Acorus Calamus</v>
      </c>
      <c r="M45" s="267" t="str">
        <f>TB!AD37</f>
        <v/>
      </c>
      <c r="N45" s="267">
        <f>TB!AT37</f>
        <v>0</v>
      </c>
      <c r="O45" s="267">
        <f>TB!AV37</f>
        <v>38</v>
      </c>
      <c r="P45" s="267">
        <f t="shared" si="21"/>
        <v>0</v>
      </c>
      <c r="Q45" s="267">
        <f t="shared" si="8"/>
        <v>0</v>
      </c>
      <c r="R45" s="267" t="str">
        <f>TB!AU37</f>
        <v>x6</v>
      </c>
      <c r="S45" s="267">
        <f>COUNTIF(N$12:N45,N45)</f>
        <v>34</v>
      </c>
      <c r="T45" s="267">
        <v>1</v>
      </c>
      <c r="U45" s="267">
        <f t="shared" si="9"/>
        <v>200</v>
      </c>
      <c r="V45" s="267" t="str">
        <f t="shared" si="10"/>
        <v>Acorus Calamus0</v>
      </c>
      <c r="W45" s="267" t="str">
        <f t="shared" si="20"/>
        <v/>
      </c>
      <c r="X45" s="267" t="str">
        <f>IF(W45&lt;&gt;"",1+COUNT(X$12:X44),"")</f>
        <v/>
      </c>
      <c r="Y45" s="267" t="str">
        <f t="shared" si="11"/>
        <v/>
      </c>
      <c r="Z45" s="267" t="str">
        <f t="shared" si="12"/>
        <v/>
      </c>
      <c r="AA45" s="267" t="str">
        <f t="shared" si="13"/>
        <v/>
      </c>
      <c r="AB45" s="267" t="str">
        <f t="shared" si="14"/>
        <v/>
      </c>
      <c r="AC45" s="267" t="str">
        <f t="shared" si="15"/>
        <v/>
      </c>
      <c r="AD45" s="267" t="str">
        <f t="shared" si="16"/>
        <v/>
      </c>
      <c r="AE45" s="267" t="str">
        <f t="shared" si="22"/>
        <v/>
      </c>
      <c r="AF45" s="267">
        <f t="shared" ref="AF45:AF76" si="30">_xlfn.SINGLE(_xlfn.XLOOKUP(AE45,AM$12:AM$122,AN$12:AN$122,0))</f>
        <v>0</v>
      </c>
      <c r="AG45" s="267" t="str">
        <f t="shared" si="19"/>
        <v/>
      </c>
      <c r="AH45" s="267" t="str">
        <f>IFERROR(RANK(AG45,AG$12:AG$211,1)+COUNTIF(AG$12:AG45,AG45)-1,"")</f>
        <v/>
      </c>
      <c r="AM45" s="267">
        <v>34</v>
      </c>
      <c r="AN45" s="267">
        <v>10</v>
      </c>
    </row>
    <row r="46" spans="1:40" x14ac:dyDescent="0.25">
      <c r="A46" s="267">
        <v>35</v>
      </c>
      <c r="B46" s="291" t="str">
        <f t="shared" si="23"/>
        <v/>
      </c>
      <c r="C46" s="292" t="str">
        <f t="shared" si="24"/>
        <v/>
      </c>
      <c r="D46" s="293" t="str">
        <f t="shared" si="25"/>
        <v/>
      </c>
      <c r="E46" s="294" t="str">
        <f t="shared" si="26"/>
        <v/>
      </c>
      <c r="F46" s="295" t="str">
        <f t="shared" si="27"/>
        <v/>
      </c>
      <c r="G46" s="281" t="str">
        <f t="shared" si="28"/>
        <v/>
      </c>
      <c r="H46" s="296" t="str">
        <f t="shared" si="29"/>
        <v/>
      </c>
      <c r="I46" s="297"/>
      <c r="J46" s="298"/>
      <c r="L46" s="267" t="str">
        <f>TB!AG38</f>
        <v>Acorus Calamus</v>
      </c>
      <c r="M46" s="267" t="str">
        <f>TB!AD38</f>
        <v/>
      </c>
      <c r="N46" s="267">
        <f>TB!AT38</f>
        <v>0</v>
      </c>
      <c r="O46" s="267">
        <f>TB!AV38</f>
        <v>38</v>
      </c>
      <c r="P46" s="267">
        <f t="shared" si="21"/>
        <v>0</v>
      </c>
      <c r="Q46" s="267">
        <f t="shared" si="8"/>
        <v>0</v>
      </c>
      <c r="R46" s="267" t="str">
        <f>TB!AU38</f>
        <v>x6</v>
      </c>
      <c r="S46" s="267">
        <f>COUNTIF(N$12:N46,N46)</f>
        <v>35</v>
      </c>
      <c r="T46" s="267">
        <v>1</v>
      </c>
      <c r="U46" s="267">
        <f t="shared" si="9"/>
        <v>200</v>
      </c>
      <c r="V46" s="267" t="str">
        <f t="shared" si="10"/>
        <v>Acorus Calamus0</v>
      </c>
      <c r="W46" s="267" t="str">
        <f t="shared" si="20"/>
        <v/>
      </c>
      <c r="X46" s="267" t="str">
        <f>IF(W46&lt;&gt;"",1+COUNT(X$12:X45),"")</f>
        <v/>
      </c>
      <c r="Y46" s="267" t="str">
        <f t="shared" si="11"/>
        <v/>
      </c>
      <c r="Z46" s="267" t="str">
        <f t="shared" si="12"/>
        <v/>
      </c>
      <c r="AA46" s="267" t="str">
        <f t="shared" si="13"/>
        <v/>
      </c>
      <c r="AB46" s="267" t="str">
        <f t="shared" si="14"/>
        <v/>
      </c>
      <c r="AC46" s="267" t="str">
        <f t="shared" si="15"/>
        <v/>
      </c>
      <c r="AD46" s="267" t="str">
        <f t="shared" si="16"/>
        <v/>
      </c>
      <c r="AE46" s="267" t="str">
        <f t="shared" si="22"/>
        <v/>
      </c>
      <c r="AF46" s="267">
        <f t="shared" si="30"/>
        <v>0</v>
      </c>
      <c r="AG46" s="267" t="str">
        <f t="shared" si="19"/>
        <v/>
      </c>
      <c r="AH46" s="267" t="str">
        <f>IFERROR(RANK(AG46,AG$12:AG$211,1)+COUNTIF(AG$12:AG46,AG46)-1,"")</f>
        <v/>
      </c>
      <c r="AM46" s="267">
        <v>35</v>
      </c>
      <c r="AN46" s="267">
        <v>8</v>
      </c>
    </row>
    <row r="47" spans="1:40" x14ac:dyDescent="0.25">
      <c r="A47" s="267">
        <v>36</v>
      </c>
      <c r="B47" s="299" t="str">
        <f t="shared" si="23"/>
        <v/>
      </c>
      <c r="C47" s="300" t="str">
        <f t="shared" si="24"/>
        <v/>
      </c>
      <c r="D47" s="301" t="str">
        <f t="shared" si="25"/>
        <v/>
      </c>
      <c r="E47" s="302" t="str">
        <f t="shared" si="26"/>
        <v/>
      </c>
      <c r="F47" s="303" t="str">
        <f t="shared" si="27"/>
        <v/>
      </c>
      <c r="G47" s="304" t="str">
        <f t="shared" si="28"/>
        <v/>
      </c>
      <c r="H47" s="305" t="str">
        <f t="shared" si="29"/>
        <v/>
      </c>
      <c r="I47" s="306"/>
      <c r="J47" s="307"/>
      <c r="L47" s="267" t="str">
        <f>TB!AG39</f>
        <v>Acorus Calamus</v>
      </c>
      <c r="M47" s="267" t="str">
        <f>TB!AD39</f>
        <v/>
      </c>
      <c r="N47" s="267">
        <f>TB!AT39</f>
        <v>0</v>
      </c>
      <c r="O47" s="267">
        <f>TB!AV39</f>
        <v>38</v>
      </c>
      <c r="P47" s="267">
        <f t="shared" si="21"/>
        <v>0</v>
      </c>
      <c r="Q47" s="267">
        <f t="shared" si="8"/>
        <v>0</v>
      </c>
      <c r="R47" s="267" t="str">
        <f>TB!AU39</f>
        <v>x6</v>
      </c>
      <c r="S47" s="267">
        <f>COUNTIF(N$12:N47,N47)</f>
        <v>36</v>
      </c>
      <c r="T47" s="267">
        <v>1</v>
      </c>
      <c r="U47" s="267">
        <f t="shared" si="9"/>
        <v>200</v>
      </c>
      <c r="V47" s="267" t="str">
        <f t="shared" si="10"/>
        <v>Acorus Calamus0</v>
      </c>
      <c r="W47" s="267" t="str">
        <f t="shared" si="20"/>
        <v/>
      </c>
      <c r="X47" s="267" t="str">
        <f>IF(W47&lt;&gt;"",1+COUNT(X$12:X46),"")</f>
        <v/>
      </c>
      <c r="Y47" s="267" t="str">
        <f t="shared" si="11"/>
        <v/>
      </c>
      <c r="Z47" s="267" t="str">
        <f t="shared" si="12"/>
        <v/>
      </c>
      <c r="AA47" s="267" t="str">
        <f t="shared" si="13"/>
        <v/>
      </c>
      <c r="AB47" s="267" t="str">
        <f t="shared" si="14"/>
        <v/>
      </c>
      <c r="AC47" s="267" t="str">
        <f t="shared" si="15"/>
        <v/>
      </c>
      <c r="AD47" s="267" t="str">
        <f t="shared" si="16"/>
        <v/>
      </c>
      <c r="AE47" s="267" t="str">
        <f t="shared" si="22"/>
        <v/>
      </c>
      <c r="AF47" s="267">
        <f t="shared" si="30"/>
        <v>0</v>
      </c>
      <c r="AG47" s="267" t="str">
        <f t="shared" si="19"/>
        <v/>
      </c>
      <c r="AH47" s="267" t="str">
        <f>IFERROR(RANK(AG47,AG$12:AG$211,1)+COUNTIF(AG$12:AG47,AG47)-1,"")</f>
        <v/>
      </c>
      <c r="AM47" s="267">
        <v>36</v>
      </c>
      <c r="AN47" s="267">
        <v>6</v>
      </c>
    </row>
    <row r="48" spans="1:40" x14ac:dyDescent="0.25">
      <c r="A48" s="267">
        <v>37</v>
      </c>
      <c r="B48" s="291" t="str">
        <f t="shared" si="23"/>
        <v/>
      </c>
      <c r="C48" s="292" t="str">
        <f t="shared" si="24"/>
        <v/>
      </c>
      <c r="D48" s="293" t="str">
        <f t="shared" si="25"/>
        <v/>
      </c>
      <c r="E48" s="294" t="str">
        <f t="shared" si="26"/>
        <v/>
      </c>
      <c r="F48" s="295" t="str">
        <f t="shared" si="27"/>
        <v/>
      </c>
      <c r="G48" s="281" t="str">
        <f t="shared" si="28"/>
        <v/>
      </c>
      <c r="H48" s="296" t="str">
        <f t="shared" si="29"/>
        <v/>
      </c>
      <c r="I48" s="297"/>
      <c r="J48" s="298"/>
      <c r="L48" s="267" t="str">
        <f>TB!AG40</f>
        <v>Acorus Calamus</v>
      </c>
      <c r="M48" s="267" t="str">
        <f>TB!AD40</f>
        <v/>
      </c>
      <c r="N48" s="267">
        <f>TB!AT40</f>
        <v>0</v>
      </c>
      <c r="O48" s="267">
        <f>TB!AV40</f>
        <v>38</v>
      </c>
      <c r="P48" s="267">
        <f t="shared" si="21"/>
        <v>0</v>
      </c>
      <c r="Q48" s="267">
        <f t="shared" si="8"/>
        <v>0</v>
      </c>
      <c r="R48" s="267" t="str">
        <f>TB!AU40</f>
        <v>x6</v>
      </c>
      <c r="S48" s="267">
        <f>COUNTIF(N$12:N48,N48)</f>
        <v>37</v>
      </c>
      <c r="T48" s="267">
        <v>1</v>
      </c>
      <c r="U48" s="267">
        <f t="shared" si="9"/>
        <v>200</v>
      </c>
      <c r="V48" s="267" t="str">
        <f t="shared" si="10"/>
        <v>Acorus Calamus0</v>
      </c>
      <c r="W48" s="267" t="str">
        <f t="shared" si="20"/>
        <v/>
      </c>
      <c r="X48" s="267" t="str">
        <f>IF(W48&lt;&gt;"",1+COUNT(X$12:X47),"")</f>
        <v/>
      </c>
      <c r="Y48" s="267" t="str">
        <f t="shared" si="11"/>
        <v/>
      </c>
      <c r="Z48" s="267" t="str">
        <f t="shared" si="12"/>
        <v/>
      </c>
      <c r="AA48" s="267" t="str">
        <f t="shared" si="13"/>
        <v/>
      </c>
      <c r="AB48" s="267" t="str">
        <f t="shared" si="14"/>
        <v/>
      </c>
      <c r="AC48" s="267" t="str">
        <f t="shared" si="15"/>
        <v/>
      </c>
      <c r="AD48" s="267" t="str">
        <f t="shared" si="16"/>
        <v/>
      </c>
      <c r="AE48" s="267" t="str">
        <f t="shared" si="22"/>
        <v/>
      </c>
      <c r="AF48" s="267">
        <f t="shared" si="30"/>
        <v>0</v>
      </c>
      <c r="AG48" s="267" t="str">
        <f t="shared" si="19"/>
        <v/>
      </c>
      <c r="AH48" s="267" t="str">
        <f>IFERROR(RANK(AG48,AG$12:AG$211,1)+COUNTIF(AG$12:AG48,AG48)-1,"")</f>
        <v/>
      </c>
      <c r="AM48" s="267">
        <v>37</v>
      </c>
      <c r="AN48" s="267">
        <v>4</v>
      </c>
    </row>
    <row r="49" spans="1:40" x14ac:dyDescent="0.25">
      <c r="A49" s="267">
        <v>38</v>
      </c>
      <c r="B49" s="299" t="str">
        <f t="shared" si="23"/>
        <v/>
      </c>
      <c r="C49" s="300" t="str">
        <f t="shared" si="24"/>
        <v/>
      </c>
      <c r="D49" s="301" t="str">
        <f t="shared" si="25"/>
        <v/>
      </c>
      <c r="E49" s="302" t="str">
        <f t="shared" si="26"/>
        <v/>
      </c>
      <c r="F49" s="303" t="str">
        <f t="shared" si="27"/>
        <v/>
      </c>
      <c r="G49" s="304" t="str">
        <f t="shared" si="28"/>
        <v/>
      </c>
      <c r="H49" s="305" t="str">
        <f t="shared" si="29"/>
        <v/>
      </c>
      <c r="I49" s="306"/>
      <c r="J49" s="307"/>
      <c r="L49" s="267" t="str">
        <f>TB!AG41</f>
        <v>Acorus Calamus</v>
      </c>
      <c r="M49" s="267" t="str">
        <f>TB!AD41</f>
        <v/>
      </c>
      <c r="N49" s="267">
        <f>TB!AT41</f>
        <v>0</v>
      </c>
      <c r="O49" s="267">
        <f>TB!AV41</f>
        <v>38</v>
      </c>
      <c r="P49" s="267">
        <f t="shared" si="21"/>
        <v>0</v>
      </c>
      <c r="Q49" s="267">
        <f t="shared" si="8"/>
        <v>0</v>
      </c>
      <c r="R49" s="267" t="str">
        <f>TB!AU41</f>
        <v>x6</v>
      </c>
      <c r="S49" s="267">
        <f>COUNTIF(N$12:N49,N49)</f>
        <v>38</v>
      </c>
      <c r="T49" s="267">
        <v>1</v>
      </c>
      <c r="U49" s="267">
        <f t="shared" si="9"/>
        <v>200</v>
      </c>
      <c r="V49" s="267" t="str">
        <f t="shared" si="10"/>
        <v>Acorus Calamus0</v>
      </c>
      <c r="W49" s="267" t="str">
        <f t="shared" si="20"/>
        <v/>
      </c>
      <c r="X49" s="267" t="str">
        <f>IF(W49&lt;&gt;"",1+COUNT(X$12:X48),"")</f>
        <v/>
      </c>
      <c r="Y49" s="267" t="str">
        <f t="shared" si="11"/>
        <v/>
      </c>
      <c r="Z49" s="267" t="str">
        <f t="shared" si="12"/>
        <v/>
      </c>
      <c r="AA49" s="267" t="str">
        <f t="shared" si="13"/>
        <v/>
      </c>
      <c r="AB49" s="267" t="str">
        <f t="shared" si="14"/>
        <v/>
      </c>
      <c r="AC49" s="267" t="str">
        <f t="shared" si="15"/>
        <v/>
      </c>
      <c r="AD49" s="267" t="str">
        <f t="shared" si="16"/>
        <v/>
      </c>
      <c r="AE49" s="267" t="str">
        <f t="shared" si="22"/>
        <v/>
      </c>
      <c r="AF49" s="267">
        <f t="shared" si="30"/>
        <v>0</v>
      </c>
      <c r="AG49" s="267" t="str">
        <f t="shared" si="19"/>
        <v/>
      </c>
      <c r="AH49" s="267" t="str">
        <f>IFERROR(RANK(AG49,AG$12:AG$211,1)+COUNTIF(AG$12:AG49,AG49)-1,"")</f>
        <v/>
      </c>
      <c r="AM49" s="267">
        <v>38</v>
      </c>
      <c r="AN49" s="267">
        <v>2</v>
      </c>
    </row>
    <row r="50" spans="1:40" x14ac:dyDescent="0.25">
      <c r="A50" s="267">
        <v>39</v>
      </c>
      <c r="B50" s="291" t="str">
        <f t="shared" si="23"/>
        <v/>
      </c>
      <c r="C50" s="292" t="str">
        <f t="shared" si="24"/>
        <v/>
      </c>
      <c r="D50" s="293" t="str">
        <f t="shared" si="25"/>
        <v/>
      </c>
      <c r="E50" s="294" t="str">
        <f t="shared" si="26"/>
        <v/>
      </c>
      <c r="F50" s="295" t="str">
        <f t="shared" si="27"/>
        <v/>
      </c>
      <c r="G50" s="281" t="str">
        <f t="shared" si="28"/>
        <v/>
      </c>
      <c r="H50" s="296" t="str">
        <f t="shared" si="29"/>
        <v/>
      </c>
      <c r="I50" s="297"/>
      <c r="J50" s="298"/>
      <c r="L50" s="267" t="str">
        <f>TB!AG42</f>
        <v>Acorus Calamus</v>
      </c>
      <c r="M50" s="267" t="str">
        <f>TB!AD42</f>
        <v/>
      </c>
      <c r="N50" s="267">
        <f>TB!AT42</f>
        <v>0</v>
      </c>
      <c r="O50" s="267">
        <f>TB!AV42</f>
        <v>38</v>
      </c>
      <c r="P50" s="267">
        <f t="shared" si="21"/>
        <v>0</v>
      </c>
      <c r="Q50" s="267">
        <f t="shared" si="8"/>
        <v>0</v>
      </c>
      <c r="R50" s="267" t="str">
        <f>TB!AU42</f>
        <v>x6</v>
      </c>
      <c r="S50" s="267">
        <f>COUNTIF(N$12:N50,N50)</f>
        <v>39</v>
      </c>
      <c r="T50" s="267">
        <v>1</v>
      </c>
      <c r="U50" s="267">
        <f t="shared" si="9"/>
        <v>200</v>
      </c>
      <c r="V50" s="267" t="str">
        <f t="shared" si="10"/>
        <v>Acorus Calamus0</v>
      </c>
      <c r="W50" s="267" t="str">
        <f t="shared" si="20"/>
        <v/>
      </c>
      <c r="X50" s="267" t="str">
        <f>IF(W50&lt;&gt;"",1+COUNT(X$12:X49),"")</f>
        <v/>
      </c>
      <c r="Y50" s="267" t="str">
        <f t="shared" si="11"/>
        <v/>
      </c>
      <c r="Z50" s="267" t="str">
        <f t="shared" si="12"/>
        <v/>
      </c>
      <c r="AA50" s="267" t="str">
        <f t="shared" si="13"/>
        <v/>
      </c>
      <c r="AB50" s="267" t="str">
        <f t="shared" si="14"/>
        <v/>
      </c>
      <c r="AC50" s="267" t="str">
        <f t="shared" si="15"/>
        <v/>
      </c>
      <c r="AD50" s="267" t="str">
        <f t="shared" si="16"/>
        <v/>
      </c>
      <c r="AE50" s="267" t="str">
        <f t="shared" si="22"/>
        <v/>
      </c>
      <c r="AF50" s="267">
        <f t="shared" si="30"/>
        <v>0</v>
      </c>
      <c r="AG50" s="267" t="str">
        <f t="shared" si="19"/>
        <v/>
      </c>
      <c r="AH50" s="267" t="str">
        <f>IFERROR(RANK(AG50,AG$12:AG$211,1)+COUNTIF(AG$12:AG50,AG50)-1,"")</f>
        <v/>
      </c>
      <c r="AM50" s="267">
        <v>39</v>
      </c>
      <c r="AN50" s="267">
        <v>71</v>
      </c>
    </row>
    <row r="51" spans="1:40" x14ac:dyDescent="0.25">
      <c r="A51" s="267">
        <v>40</v>
      </c>
      <c r="B51" s="299" t="str">
        <f t="shared" si="23"/>
        <v/>
      </c>
      <c r="C51" s="300" t="str">
        <f t="shared" si="24"/>
        <v/>
      </c>
      <c r="D51" s="301" t="str">
        <f t="shared" si="25"/>
        <v/>
      </c>
      <c r="E51" s="302" t="str">
        <f t="shared" si="26"/>
        <v/>
      </c>
      <c r="F51" s="303" t="str">
        <f t="shared" si="27"/>
        <v/>
      </c>
      <c r="G51" s="304" t="str">
        <f t="shared" si="28"/>
        <v/>
      </c>
      <c r="H51" s="305" t="str">
        <f t="shared" si="29"/>
        <v/>
      </c>
      <c r="I51" s="306"/>
      <c r="J51" s="307"/>
      <c r="L51" s="267" t="str">
        <f>TB!AG43</f>
        <v>Acorus Calamus</v>
      </c>
      <c r="M51" s="267" t="str">
        <f>TB!AD43</f>
        <v/>
      </c>
      <c r="N51" s="267">
        <f>TB!AT43</f>
        <v>0</v>
      </c>
      <c r="O51" s="267">
        <f>TB!AV43</f>
        <v>38</v>
      </c>
      <c r="P51" s="267">
        <f t="shared" si="21"/>
        <v>0</v>
      </c>
      <c r="Q51" s="267">
        <f t="shared" si="8"/>
        <v>0</v>
      </c>
      <c r="R51" s="267" t="str">
        <f>TB!AU43</f>
        <v>x6</v>
      </c>
      <c r="S51" s="267">
        <f>COUNTIF(N$12:N51,N51)</f>
        <v>40</v>
      </c>
      <c r="T51" s="267">
        <v>1</v>
      </c>
      <c r="U51" s="267">
        <f t="shared" si="9"/>
        <v>200</v>
      </c>
      <c r="V51" s="267" t="str">
        <f t="shared" si="10"/>
        <v>Acorus Calamus0</v>
      </c>
      <c r="W51" s="267" t="str">
        <f t="shared" si="20"/>
        <v/>
      </c>
      <c r="X51" s="267" t="str">
        <f>IF(W51&lt;&gt;"",1+COUNT(X$12:X50),"")</f>
        <v/>
      </c>
      <c r="Y51" s="267" t="str">
        <f t="shared" si="11"/>
        <v/>
      </c>
      <c r="Z51" s="267" t="str">
        <f t="shared" si="12"/>
        <v/>
      </c>
      <c r="AA51" s="267" t="str">
        <f t="shared" si="13"/>
        <v/>
      </c>
      <c r="AB51" s="267" t="str">
        <f t="shared" si="14"/>
        <v/>
      </c>
      <c r="AC51" s="267" t="str">
        <f t="shared" si="15"/>
        <v/>
      </c>
      <c r="AD51" s="267" t="str">
        <f t="shared" si="16"/>
        <v/>
      </c>
      <c r="AE51" s="267" t="str">
        <f t="shared" si="22"/>
        <v/>
      </c>
      <c r="AF51" s="267">
        <f t="shared" si="30"/>
        <v>0</v>
      </c>
      <c r="AG51" s="267" t="str">
        <f t="shared" si="19"/>
        <v/>
      </c>
      <c r="AH51" s="267" t="str">
        <f>IFERROR(RANK(AG51,AG$12:AG$211,1)+COUNTIF(AG$12:AG51,AG51)-1,"")</f>
        <v/>
      </c>
      <c r="AM51" s="267">
        <v>40</v>
      </c>
      <c r="AN51" s="267">
        <v>69</v>
      </c>
    </row>
    <row r="52" spans="1:40" x14ac:dyDescent="0.25">
      <c r="A52" s="267">
        <v>41</v>
      </c>
      <c r="B52" s="291" t="str">
        <f t="shared" si="23"/>
        <v/>
      </c>
      <c r="C52" s="292" t="str">
        <f t="shared" si="24"/>
        <v/>
      </c>
      <c r="D52" s="293" t="str">
        <f t="shared" si="25"/>
        <v/>
      </c>
      <c r="E52" s="294" t="str">
        <f t="shared" si="26"/>
        <v/>
      </c>
      <c r="F52" s="295" t="str">
        <f t="shared" si="27"/>
        <v/>
      </c>
      <c r="G52" s="281" t="str">
        <f t="shared" si="28"/>
        <v/>
      </c>
      <c r="H52" s="296" t="str">
        <f t="shared" si="29"/>
        <v/>
      </c>
      <c r="I52" s="297"/>
      <c r="J52" s="298"/>
      <c r="L52" s="267" t="str">
        <f>TB!AG44</f>
        <v>Acorus Calamus</v>
      </c>
      <c r="M52" s="267" t="str">
        <f>TB!AD44</f>
        <v/>
      </c>
      <c r="N52" s="267">
        <f>TB!AT44</f>
        <v>0</v>
      </c>
      <c r="O52" s="267">
        <f>TB!AV44</f>
        <v>38</v>
      </c>
      <c r="P52" s="267">
        <f t="shared" si="21"/>
        <v>0</v>
      </c>
      <c r="Q52" s="267">
        <f t="shared" si="8"/>
        <v>0</v>
      </c>
      <c r="R52" s="267" t="str">
        <f>TB!AU44</f>
        <v>x6</v>
      </c>
      <c r="S52" s="267">
        <f>COUNTIF(N$12:N52,N52)</f>
        <v>41</v>
      </c>
      <c r="T52" s="267">
        <v>1</v>
      </c>
      <c r="U52" s="267">
        <f t="shared" si="9"/>
        <v>200</v>
      </c>
      <c r="V52" s="267" t="str">
        <f t="shared" si="10"/>
        <v>Acorus Calamus0</v>
      </c>
      <c r="W52" s="267" t="str">
        <f t="shared" si="20"/>
        <v/>
      </c>
      <c r="X52" s="267" t="str">
        <f>IF(W52&lt;&gt;"",1+COUNT(X$12:X51),"")</f>
        <v/>
      </c>
      <c r="Y52" s="267" t="str">
        <f t="shared" si="11"/>
        <v/>
      </c>
      <c r="Z52" s="267" t="str">
        <f t="shared" si="12"/>
        <v/>
      </c>
      <c r="AA52" s="267" t="str">
        <f t="shared" si="13"/>
        <v/>
      </c>
      <c r="AB52" s="267" t="str">
        <f t="shared" si="14"/>
        <v/>
      </c>
      <c r="AC52" s="267" t="str">
        <f t="shared" si="15"/>
        <v/>
      </c>
      <c r="AD52" s="267" t="str">
        <f t="shared" si="16"/>
        <v/>
      </c>
      <c r="AE52" s="267" t="str">
        <f t="shared" si="22"/>
        <v/>
      </c>
      <c r="AF52" s="267">
        <f t="shared" si="30"/>
        <v>0</v>
      </c>
      <c r="AG52" s="267" t="str">
        <f t="shared" si="19"/>
        <v/>
      </c>
      <c r="AH52" s="267" t="str">
        <f>IFERROR(RANK(AG52,AG$12:AG$211,1)+COUNTIF(AG$12:AG52,AG52)-1,"")</f>
        <v/>
      </c>
      <c r="AM52" s="267">
        <v>41</v>
      </c>
      <c r="AN52" s="267">
        <v>67</v>
      </c>
    </row>
    <row r="53" spans="1:40" x14ac:dyDescent="0.25">
      <c r="A53" s="267">
        <v>42</v>
      </c>
      <c r="B53" s="291" t="str">
        <f t="shared" si="23"/>
        <v/>
      </c>
      <c r="C53" s="292" t="str">
        <f t="shared" si="24"/>
        <v/>
      </c>
      <c r="D53" s="293" t="str">
        <f t="shared" si="25"/>
        <v/>
      </c>
      <c r="E53" s="294" t="str">
        <f t="shared" si="26"/>
        <v/>
      </c>
      <c r="F53" s="295" t="str">
        <f t="shared" si="27"/>
        <v/>
      </c>
      <c r="G53" s="281" t="str">
        <f t="shared" si="28"/>
        <v/>
      </c>
      <c r="H53" s="296" t="str">
        <f t="shared" si="29"/>
        <v/>
      </c>
      <c r="I53" s="297"/>
      <c r="J53" s="298"/>
      <c r="L53" s="267" t="str">
        <f>TB!AG45</f>
        <v>Acorus Calamus</v>
      </c>
      <c r="M53" s="267" t="str">
        <f>TB!AD45</f>
        <v/>
      </c>
      <c r="N53" s="267">
        <f>TB!AT45</f>
        <v>0</v>
      </c>
      <c r="O53" s="267">
        <f>TB!AV45</f>
        <v>38</v>
      </c>
      <c r="P53" s="267">
        <f t="shared" si="21"/>
        <v>0</v>
      </c>
      <c r="Q53" s="267">
        <f t="shared" si="8"/>
        <v>0</v>
      </c>
      <c r="R53" s="267" t="str">
        <f>TB!AU45</f>
        <v>x6</v>
      </c>
      <c r="S53" s="267">
        <f>COUNTIF(N$12:N53,N53)</f>
        <v>42</v>
      </c>
      <c r="T53" s="267">
        <v>1</v>
      </c>
      <c r="U53" s="267">
        <f t="shared" si="9"/>
        <v>200</v>
      </c>
      <c r="V53" s="267" t="str">
        <f t="shared" si="10"/>
        <v>Acorus Calamus0</v>
      </c>
      <c r="W53" s="267" t="str">
        <f t="shared" si="20"/>
        <v/>
      </c>
      <c r="X53" s="267" t="str">
        <f>IF(W53&lt;&gt;"",1+COUNT(X$12:X52),"")</f>
        <v/>
      </c>
      <c r="Y53" s="267" t="str">
        <f t="shared" si="11"/>
        <v/>
      </c>
      <c r="Z53" s="267" t="str">
        <f t="shared" si="12"/>
        <v/>
      </c>
      <c r="AA53" s="267" t="str">
        <f t="shared" si="13"/>
        <v/>
      </c>
      <c r="AB53" s="267" t="str">
        <f t="shared" si="14"/>
        <v/>
      </c>
      <c r="AC53" s="267" t="str">
        <f t="shared" si="15"/>
        <v/>
      </c>
      <c r="AD53" s="267" t="str">
        <f t="shared" si="16"/>
        <v/>
      </c>
      <c r="AE53" s="267" t="str">
        <f t="shared" si="22"/>
        <v/>
      </c>
      <c r="AF53" s="267">
        <f t="shared" si="30"/>
        <v>0</v>
      </c>
      <c r="AG53" s="267" t="str">
        <f t="shared" si="19"/>
        <v/>
      </c>
      <c r="AH53" s="267" t="str">
        <f>IFERROR(RANK(AG53,AG$12:AG$211,1)+COUNTIF(AG$12:AG53,AG53)-1,"")</f>
        <v/>
      </c>
      <c r="AM53" s="267">
        <v>42</v>
      </c>
      <c r="AN53" s="267">
        <v>65</v>
      </c>
    </row>
    <row r="54" spans="1:40" x14ac:dyDescent="0.25">
      <c r="A54" s="267">
        <v>43</v>
      </c>
      <c r="B54" s="299" t="str">
        <f t="shared" si="23"/>
        <v/>
      </c>
      <c r="C54" s="300" t="str">
        <f t="shared" si="24"/>
        <v/>
      </c>
      <c r="D54" s="301" t="str">
        <f t="shared" si="25"/>
        <v/>
      </c>
      <c r="E54" s="302" t="str">
        <f t="shared" si="26"/>
        <v/>
      </c>
      <c r="F54" s="303" t="str">
        <f t="shared" si="27"/>
        <v/>
      </c>
      <c r="G54" s="304" t="str">
        <f t="shared" si="28"/>
        <v/>
      </c>
      <c r="H54" s="305" t="str">
        <f t="shared" si="29"/>
        <v/>
      </c>
      <c r="I54" s="306"/>
      <c r="J54" s="307"/>
      <c r="L54" s="267" t="str">
        <f>TB!AG46</f>
        <v>Acorus Calamus</v>
      </c>
      <c r="M54" s="267" t="str">
        <f>TB!AD46</f>
        <v/>
      </c>
      <c r="N54" s="267">
        <f>TB!AT46</f>
        <v>0</v>
      </c>
      <c r="O54" s="267">
        <f>TB!AV46</f>
        <v>38</v>
      </c>
      <c r="P54" s="267">
        <f t="shared" si="21"/>
        <v>0</v>
      </c>
      <c r="Q54" s="267">
        <f t="shared" si="8"/>
        <v>0</v>
      </c>
      <c r="R54" s="267" t="str">
        <f>TB!AU46</f>
        <v>x6</v>
      </c>
      <c r="S54" s="267">
        <f>COUNTIF(N$12:N54,N54)</f>
        <v>43</v>
      </c>
      <c r="T54" s="267">
        <v>1</v>
      </c>
      <c r="U54" s="267">
        <f t="shared" si="9"/>
        <v>200</v>
      </c>
      <c r="V54" s="267" t="str">
        <f t="shared" si="10"/>
        <v>Acorus Calamus0</v>
      </c>
      <c r="W54" s="267" t="str">
        <f>IF(V54=V53,"",V54)</f>
        <v/>
      </c>
      <c r="X54" s="267" t="str">
        <f>IF(W54&lt;&gt;"",1+COUNT(X$12:X53),"")</f>
        <v/>
      </c>
      <c r="Y54" s="267" t="str">
        <f t="shared" si="11"/>
        <v/>
      </c>
      <c r="Z54" s="267" t="str">
        <f t="shared" si="12"/>
        <v/>
      </c>
      <c r="AA54" s="267" t="str">
        <f t="shared" si="13"/>
        <v/>
      </c>
      <c r="AB54" s="267" t="str">
        <f t="shared" si="14"/>
        <v/>
      </c>
      <c r="AC54" s="267" t="str">
        <f t="shared" si="15"/>
        <v/>
      </c>
      <c r="AD54" s="267" t="str">
        <f t="shared" si="16"/>
        <v/>
      </c>
      <c r="AE54" s="267" t="str">
        <f t="shared" si="22"/>
        <v/>
      </c>
      <c r="AF54" s="267">
        <f t="shared" si="30"/>
        <v>0</v>
      </c>
      <c r="AG54" s="267" t="str">
        <f t="shared" si="19"/>
        <v/>
      </c>
      <c r="AH54" s="267" t="str">
        <f>IFERROR(RANK(AG54,AG$12:AG$211,1)+COUNTIF(AG$12:AG54,AG54)-1,"")</f>
        <v/>
      </c>
      <c r="AM54" s="267">
        <v>43</v>
      </c>
      <c r="AN54" s="267">
        <v>63</v>
      </c>
    </row>
    <row r="55" spans="1:40" x14ac:dyDescent="0.25">
      <c r="A55" s="267">
        <v>44</v>
      </c>
      <c r="B55" s="291" t="str">
        <f t="shared" si="23"/>
        <v/>
      </c>
      <c r="C55" s="292" t="str">
        <f t="shared" si="24"/>
        <v/>
      </c>
      <c r="D55" s="293" t="str">
        <f t="shared" si="25"/>
        <v/>
      </c>
      <c r="E55" s="294" t="str">
        <f t="shared" si="26"/>
        <v/>
      </c>
      <c r="F55" s="295" t="str">
        <f t="shared" si="27"/>
        <v/>
      </c>
      <c r="G55" s="281" t="str">
        <f t="shared" si="28"/>
        <v/>
      </c>
      <c r="H55" s="296" t="str">
        <f t="shared" si="29"/>
        <v/>
      </c>
      <c r="I55" s="297"/>
      <c r="J55" s="298"/>
      <c r="L55" s="267" t="str">
        <f>TB!AG47</f>
        <v>Acorus Calamus</v>
      </c>
      <c r="M55" s="267" t="str">
        <f>TB!AD47</f>
        <v/>
      </c>
      <c r="N55" s="267">
        <f>TB!AT47</f>
        <v>0</v>
      </c>
      <c r="O55" s="267">
        <f>TB!AV47</f>
        <v>38</v>
      </c>
      <c r="P55" s="267">
        <f t="shared" si="21"/>
        <v>0</v>
      </c>
      <c r="Q55" s="267">
        <f t="shared" si="8"/>
        <v>0</v>
      </c>
      <c r="R55" s="267" t="str">
        <f>TB!AU47</f>
        <v>x6</v>
      </c>
      <c r="S55" s="267">
        <f>COUNTIF(N$12:N55,N55)</f>
        <v>44</v>
      </c>
      <c r="T55" s="267">
        <v>1</v>
      </c>
      <c r="U55" s="267">
        <f t="shared" si="9"/>
        <v>200</v>
      </c>
      <c r="V55" s="267" t="str">
        <f t="shared" si="10"/>
        <v>Acorus Calamus0</v>
      </c>
      <c r="W55" s="267" t="str">
        <f t="shared" si="20"/>
        <v/>
      </c>
      <c r="X55" s="267" t="str">
        <f>IF(W55&lt;&gt;"",1+COUNT(X$12:X54),"")</f>
        <v/>
      </c>
      <c r="Y55" s="267" t="str">
        <f t="shared" si="11"/>
        <v/>
      </c>
      <c r="Z55" s="267" t="str">
        <f t="shared" si="12"/>
        <v/>
      </c>
      <c r="AA55" s="267" t="str">
        <f t="shared" si="13"/>
        <v/>
      </c>
      <c r="AB55" s="267" t="str">
        <f t="shared" si="14"/>
        <v/>
      </c>
      <c r="AC55" s="267" t="str">
        <f t="shared" si="15"/>
        <v/>
      </c>
      <c r="AD55" s="267" t="str">
        <f t="shared" si="16"/>
        <v/>
      </c>
      <c r="AE55" s="267" t="str">
        <f t="shared" si="22"/>
        <v/>
      </c>
      <c r="AF55" s="267">
        <f t="shared" si="30"/>
        <v>0</v>
      </c>
      <c r="AG55" s="267" t="str">
        <f t="shared" si="19"/>
        <v/>
      </c>
      <c r="AH55" s="267" t="str">
        <f>IFERROR(RANK(AG55,AG$12:AG$211,1)+COUNTIF(AG$12:AG55,AG55)-1,"")</f>
        <v/>
      </c>
      <c r="AM55" s="267">
        <v>44</v>
      </c>
      <c r="AN55" s="267">
        <v>61</v>
      </c>
    </row>
    <row r="56" spans="1:40" x14ac:dyDescent="0.25">
      <c r="A56" s="267">
        <v>45</v>
      </c>
      <c r="B56" s="299" t="str">
        <f t="shared" si="23"/>
        <v/>
      </c>
      <c r="C56" s="300" t="str">
        <f t="shared" si="24"/>
        <v/>
      </c>
      <c r="D56" s="301" t="str">
        <f t="shared" si="25"/>
        <v/>
      </c>
      <c r="E56" s="302" t="str">
        <f t="shared" si="26"/>
        <v/>
      </c>
      <c r="F56" s="303" t="str">
        <f t="shared" si="27"/>
        <v/>
      </c>
      <c r="G56" s="304" t="str">
        <f t="shared" si="28"/>
        <v/>
      </c>
      <c r="H56" s="305" t="str">
        <f t="shared" si="29"/>
        <v/>
      </c>
      <c r="I56" s="306"/>
      <c r="J56" s="307"/>
      <c r="L56" s="267" t="str">
        <f>TB!AG48</f>
        <v>Acorus Calamus</v>
      </c>
      <c r="M56" s="267" t="str">
        <f>TB!AD48</f>
        <v/>
      </c>
      <c r="N56" s="267">
        <f>TB!AT48</f>
        <v>0</v>
      </c>
      <c r="O56" s="267">
        <f>TB!AV48</f>
        <v>38</v>
      </c>
      <c r="P56" s="267">
        <f t="shared" si="21"/>
        <v>0</v>
      </c>
      <c r="Q56" s="267">
        <f t="shared" si="8"/>
        <v>0</v>
      </c>
      <c r="R56" s="267" t="str">
        <f>TB!AU48</f>
        <v>x6</v>
      </c>
      <c r="S56" s="267">
        <f>COUNTIF(N$12:N56,N56)</f>
        <v>45</v>
      </c>
      <c r="T56" s="267">
        <v>1</v>
      </c>
      <c r="U56" s="267">
        <f t="shared" si="9"/>
        <v>200</v>
      </c>
      <c r="V56" s="267" t="str">
        <f t="shared" si="10"/>
        <v>Acorus Calamus0</v>
      </c>
      <c r="W56" s="267" t="str">
        <f>IF(V56=V55,"",V56)</f>
        <v/>
      </c>
      <c r="X56" s="267" t="str">
        <f>IF(W56&lt;&gt;"",1+COUNT(X$12:X55),"")</f>
        <v/>
      </c>
      <c r="Y56" s="267" t="str">
        <f t="shared" si="11"/>
        <v/>
      </c>
      <c r="Z56" s="267" t="str">
        <f t="shared" si="12"/>
        <v/>
      </c>
      <c r="AA56" s="267" t="str">
        <f t="shared" si="13"/>
        <v/>
      </c>
      <c r="AB56" s="267" t="str">
        <f t="shared" si="14"/>
        <v/>
      </c>
      <c r="AC56" s="267" t="str">
        <f t="shared" si="15"/>
        <v/>
      </c>
      <c r="AD56" s="267" t="str">
        <f t="shared" si="16"/>
        <v/>
      </c>
      <c r="AE56" s="267" t="str">
        <f t="shared" si="22"/>
        <v/>
      </c>
      <c r="AF56" s="267">
        <f t="shared" si="30"/>
        <v>0</v>
      </c>
      <c r="AG56" s="267" t="str">
        <f t="shared" si="19"/>
        <v/>
      </c>
      <c r="AH56" s="267" t="str">
        <f>IFERROR(RANK(AG56,AG$12:AG$211,1)+COUNTIF(AG$12:AG56,AG56)-1,"")</f>
        <v/>
      </c>
      <c r="AM56" s="267">
        <v>45</v>
      </c>
      <c r="AN56" s="267">
        <v>59</v>
      </c>
    </row>
    <row r="57" spans="1:40" x14ac:dyDescent="0.25">
      <c r="A57" s="267">
        <v>46</v>
      </c>
      <c r="B57" s="291" t="str">
        <f t="shared" si="23"/>
        <v/>
      </c>
      <c r="C57" s="292" t="str">
        <f t="shared" si="24"/>
        <v/>
      </c>
      <c r="D57" s="293" t="str">
        <f t="shared" si="25"/>
        <v/>
      </c>
      <c r="E57" s="294" t="str">
        <f t="shared" si="26"/>
        <v/>
      </c>
      <c r="F57" s="295" t="str">
        <f t="shared" si="27"/>
        <v/>
      </c>
      <c r="G57" s="281" t="str">
        <f t="shared" si="28"/>
        <v/>
      </c>
      <c r="H57" s="296" t="str">
        <f t="shared" si="29"/>
        <v/>
      </c>
      <c r="I57" s="297"/>
      <c r="J57" s="298"/>
      <c r="L57" s="267" t="str">
        <f>TB!AG49</f>
        <v>Acorus Calamus</v>
      </c>
      <c r="M57" s="267" t="str">
        <f>TB!AD49</f>
        <v/>
      </c>
      <c r="N57" s="267">
        <f>TB!AT49</f>
        <v>0</v>
      </c>
      <c r="O57" s="267">
        <f>TB!AV49</f>
        <v>38</v>
      </c>
      <c r="P57" s="267">
        <f t="shared" si="21"/>
        <v>0</v>
      </c>
      <c r="Q57" s="267">
        <f t="shared" si="8"/>
        <v>0</v>
      </c>
      <c r="R57" s="267" t="str">
        <f>TB!AU49</f>
        <v>x6</v>
      </c>
      <c r="S57" s="267">
        <f>COUNTIF(N$12:N57,N57)</f>
        <v>46</v>
      </c>
      <c r="T57" s="267">
        <v>1</v>
      </c>
      <c r="U57" s="267">
        <f t="shared" si="9"/>
        <v>200</v>
      </c>
      <c r="V57" s="267" t="str">
        <f t="shared" si="10"/>
        <v>Acorus Calamus0</v>
      </c>
      <c r="W57" s="267" t="str">
        <f t="shared" si="20"/>
        <v/>
      </c>
      <c r="X57" s="267" t="str">
        <f>IF(W57&lt;&gt;"",1+COUNT(X$12:X56),"")</f>
        <v/>
      </c>
      <c r="Y57" s="267" t="str">
        <f t="shared" si="11"/>
        <v/>
      </c>
      <c r="Z57" s="267" t="str">
        <f t="shared" si="12"/>
        <v/>
      </c>
      <c r="AA57" s="267" t="str">
        <f t="shared" si="13"/>
        <v/>
      </c>
      <c r="AB57" s="267" t="str">
        <f t="shared" si="14"/>
        <v/>
      </c>
      <c r="AC57" s="267" t="str">
        <f t="shared" si="15"/>
        <v/>
      </c>
      <c r="AD57" s="267" t="str">
        <f t="shared" si="16"/>
        <v/>
      </c>
      <c r="AE57" s="267" t="str">
        <f t="shared" si="22"/>
        <v/>
      </c>
      <c r="AF57" s="267">
        <f t="shared" si="30"/>
        <v>0</v>
      </c>
      <c r="AG57" s="267" t="str">
        <f t="shared" si="19"/>
        <v/>
      </c>
      <c r="AH57" s="267" t="str">
        <f>IFERROR(RANK(AG57,AG$12:AG$211,1)+COUNTIF(AG$12:AG57,AG57)-1,"")</f>
        <v/>
      </c>
      <c r="AM57" s="267">
        <v>46</v>
      </c>
      <c r="AN57" s="267">
        <v>57</v>
      </c>
    </row>
    <row r="58" spans="1:40" x14ac:dyDescent="0.25">
      <c r="A58" s="267">
        <v>47</v>
      </c>
      <c r="B58" s="299" t="str">
        <f t="shared" si="23"/>
        <v/>
      </c>
      <c r="C58" s="300" t="str">
        <f t="shared" si="24"/>
        <v/>
      </c>
      <c r="D58" s="301" t="str">
        <f t="shared" si="25"/>
        <v/>
      </c>
      <c r="E58" s="302" t="str">
        <f t="shared" si="26"/>
        <v/>
      </c>
      <c r="F58" s="303" t="str">
        <f t="shared" si="27"/>
        <v/>
      </c>
      <c r="G58" s="304" t="str">
        <f t="shared" si="28"/>
        <v/>
      </c>
      <c r="H58" s="305" t="str">
        <f t="shared" si="29"/>
        <v/>
      </c>
      <c r="I58" s="306"/>
      <c r="J58" s="307"/>
      <c r="L58" s="267" t="str">
        <f>TB!AG50</f>
        <v>Acorus Calamus</v>
      </c>
      <c r="M58" s="267" t="str">
        <f>TB!AD50</f>
        <v/>
      </c>
      <c r="N58" s="267">
        <f>TB!AT50</f>
        <v>0</v>
      </c>
      <c r="O58" s="267">
        <f>TB!AV50</f>
        <v>38</v>
      </c>
      <c r="P58" s="267">
        <f>ROUNDDOWN(N58/10,0)</f>
        <v>0</v>
      </c>
      <c r="Q58" s="267">
        <f t="shared" si="8"/>
        <v>0</v>
      </c>
      <c r="R58" s="267" t="str">
        <f>TB!AU50</f>
        <v>x6</v>
      </c>
      <c r="S58" s="267">
        <f>COUNTIF(N$12:N58,N58)</f>
        <v>47</v>
      </c>
      <c r="T58" s="267">
        <v>1</v>
      </c>
      <c r="U58" s="267">
        <f t="shared" si="9"/>
        <v>200</v>
      </c>
      <c r="V58" s="267" t="str">
        <f t="shared" si="10"/>
        <v>Acorus Calamus0</v>
      </c>
      <c r="W58" s="267" t="str">
        <f t="shared" si="20"/>
        <v/>
      </c>
      <c r="X58" s="267" t="str">
        <f>IF(W58&lt;&gt;"",1+COUNT(X$12:X57),"")</f>
        <v/>
      </c>
      <c r="Y58" s="267" t="str">
        <f t="shared" si="11"/>
        <v/>
      </c>
      <c r="Z58" s="267" t="str">
        <f t="shared" si="12"/>
        <v/>
      </c>
      <c r="AA58" s="267" t="str">
        <f t="shared" si="13"/>
        <v/>
      </c>
      <c r="AB58" s="267" t="str">
        <f t="shared" si="14"/>
        <v/>
      </c>
      <c r="AC58" s="267" t="str">
        <f t="shared" si="15"/>
        <v/>
      </c>
      <c r="AD58" s="267" t="str">
        <f t="shared" si="16"/>
        <v/>
      </c>
      <c r="AE58" s="267" t="str">
        <f t="shared" si="22"/>
        <v/>
      </c>
      <c r="AF58" s="267">
        <f t="shared" si="30"/>
        <v>0</v>
      </c>
      <c r="AG58" s="267" t="str">
        <f t="shared" si="19"/>
        <v/>
      </c>
      <c r="AH58" s="267" t="str">
        <f>IFERROR(RANK(AG58,AG$12:AG$211,1)+COUNTIF(AG$12:AG58,AG58)-1,"")</f>
        <v/>
      </c>
      <c r="AM58" s="267">
        <v>47</v>
      </c>
      <c r="AN58" s="267">
        <v>55</v>
      </c>
    </row>
    <row r="59" spans="1:40" x14ac:dyDescent="0.25">
      <c r="A59" s="267">
        <v>48</v>
      </c>
      <c r="B59" s="291" t="str">
        <f t="shared" si="23"/>
        <v/>
      </c>
      <c r="C59" s="292" t="str">
        <f t="shared" si="24"/>
        <v/>
      </c>
      <c r="D59" s="293" t="str">
        <f t="shared" si="25"/>
        <v/>
      </c>
      <c r="E59" s="294" t="str">
        <f t="shared" si="26"/>
        <v/>
      </c>
      <c r="F59" s="295" t="str">
        <f t="shared" si="27"/>
        <v/>
      </c>
      <c r="G59" s="281" t="str">
        <f t="shared" si="28"/>
        <v/>
      </c>
      <c r="H59" s="296" t="str">
        <f t="shared" si="29"/>
        <v/>
      </c>
      <c r="I59" s="297"/>
      <c r="J59" s="298"/>
      <c r="L59" s="267" t="str">
        <f>TB!AG51</f>
        <v>Acorus Calamus</v>
      </c>
      <c r="M59" s="267" t="str">
        <f>TB!AD51</f>
        <v/>
      </c>
      <c r="N59" s="267">
        <f>TB!AT51</f>
        <v>0</v>
      </c>
      <c r="O59" s="267">
        <f>TB!AV51</f>
        <v>38</v>
      </c>
      <c r="P59" s="267">
        <f t="shared" si="21"/>
        <v>0</v>
      </c>
      <c r="Q59" s="267">
        <f t="shared" si="8"/>
        <v>0</v>
      </c>
      <c r="R59" s="267" t="str">
        <f>TB!AU51</f>
        <v>x6</v>
      </c>
      <c r="S59" s="267">
        <f>COUNTIF(N$12:N59,N59)</f>
        <v>48</v>
      </c>
      <c r="T59" s="267">
        <v>1</v>
      </c>
      <c r="U59" s="267">
        <f t="shared" si="9"/>
        <v>200</v>
      </c>
      <c r="V59" s="267" t="str">
        <f t="shared" si="10"/>
        <v>Acorus Calamus0</v>
      </c>
      <c r="W59" s="267" t="str">
        <f t="shared" si="20"/>
        <v/>
      </c>
      <c r="X59" s="267" t="str">
        <f>IF(W59&lt;&gt;"",1+COUNT(X$12:X58),"")</f>
        <v/>
      </c>
      <c r="Y59" s="267" t="str">
        <f t="shared" si="11"/>
        <v/>
      </c>
      <c r="Z59" s="267" t="str">
        <f t="shared" si="12"/>
        <v/>
      </c>
      <c r="AA59" s="267" t="str">
        <f t="shared" si="13"/>
        <v/>
      </c>
      <c r="AB59" s="267" t="str">
        <f t="shared" si="14"/>
        <v/>
      </c>
      <c r="AC59" s="267" t="str">
        <f t="shared" si="15"/>
        <v/>
      </c>
      <c r="AD59" s="267" t="str">
        <f t="shared" si="16"/>
        <v/>
      </c>
      <c r="AE59" s="267" t="str">
        <f t="shared" si="22"/>
        <v/>
      </c>
      <c r="AF59" s="267">
        <f t="shared" si="30"/>
        <v>0</v>
      </c>
      <c r="AG59" s="267" t="str">
        <f t="shared" si="19"/>
        <v/>
      </c>
      <c r="AH59" s="267" t="str">
        <f>IFERROR(RANK(AG59,AG$12:AG$211,1)+COUNTIF(AG$12:AG59,AG59)-1,"")</f>
        <v/>
      </c>
      <c r="AM59" s="267">
        <v>48</v>
      </c>
      <c r="AN59" s="267">
        <v>53</v>
      </c>
    </row>
    <row r="60" spans="1:40" x14ac:dyDescent="0.25">
      <c r="A60" s="267">
        <v>49</v>
      </c>
      <c r="B60" s="299" t="str">
        <f t="shared" si="23"/>
        <v/>
      </c>
      <c r="C60" s="300" t="str">
        <f t="shared" si="24"/>
        <v/>
      </c>
      <c r="D60" s="301" t="str">
        <f t="shared" si="25"/>
        <v/>
      </c>
      <c r="E60" s="302" t="str">
        <f t="shared" si="26"/>
        <v/>
      </c>
      <c r="F60" s="303" t="str">
        <f t="shared" si="27"/>
        <v/>
      </c>
      <c r="G60" s="304" t="str">
        <f t="shared" si="28"/>
        <v/>
      </c>
      <c r="H60" s="305" t="str">
        <f t="shared" si="29"/>
        <v/>
      </c>
      <c r="I60" s="306"/>
      <c r="J60" s="307"/>
      <c r="L60" s="267" t="str">
        <f>TB!AG52</f>
        <v>Acorus Calamus</v>
      </c>
      <c r="M60" s="267" t="str">
        <f>TB!AD52</f>
        <v/>
      </c>
      <c r="N60" s="267">
        <f>TB!AT52</f>
        <v>0</v>
      </c>
      <c r="O60" s="267">
        <f>TB!AV52</f>
        <v>38</v>
      </c>
      <c r="P60" s="267">
        <f t="shared" si="21"/>
        <v>0</v>
      </c>
      <c r="Q60" s="267">
        <f t="shared" si="8"/>
        <v>0</v>
      </c>
      <c r="R60" s="267" t="str">
        <f>TB!AU52</f>
        <v>x6</v>
      </c>
      <c r="S60" s="267">
        <f>COUNTIF(N$12:N60,N60)</f>
        <v>49</v>
      </c>
      <c r="T60" s="267">
        <v>1</v>
      </c>
      <c r="U60" s="267">
        <f t="shared" si="9"/>
        <v>200</v>
      </c>
      <c r="V60" s="267" t="str">
        <f t="shared" si="10"/>
        <v>Acorus Calamus0</v>
      </c>
      <c r="W60" s="267" t="str">
        <f t="shared" si="20"/>
        <v/>
      </c>
      <c r="X60" s="267" t="str">
        <f>IF(W60&lt;&gt;"",1+COUNT(X$12:X59),"")</f>
        <v/>
      </c>
      <c r="Y60" s="267" t="str">
        <f t="shared" si="11"/>
        <v/>
      </c>
      <c r="Z60" s="267" t="str">
        <f t="shared" si="12"/>
        <v/>
      </c>
      <c r="AA60" s="267" t="str">
        <f t="shared" si="13"/>
        <v/>
      </c>
      <c r="AB60" s="267" t="str">
        <f t="shared" si="14"/>
        <v/>
      </c>
      <c r="AC60" s="267" t="str">
        <f t="shared" si="15"/>
        <v/>
      </c>
      <c r="AD60" s="267" t="str">
        <f t="shared" si="16"/>
        <v/>
      </c>
      <c r="AE60" s="267" t="str">
        <f t="shared" si="22"/>
        <v/>
      </c>
      <c r="AF60" s="267">
        <f t="shared" si="30"/>
        <v>0</v>
      </c>
      <c r="AG60" s="267" t="str">
        <f t="shared" si="19"/>
        <v/>
      </c>
      <c r="AH60" s="267" t="str">
        <f>IFERROR(RANK(AG60,AG$12:AG$211,1)+COUNTIF(AG$12:AG60,AG60)-1,"")</f>
        <v/>
      </c>
      <c r="AM60" s="267">
        <v>49</v>
      </c>
      <c r="AN60" s="267">
        <v>51</v>
      </c>
    </row>
    <row r="61" spans="1:40" x14ac:dyDescent="0.25">
      <c r="A61" s="267">
        <v>50</v>
      </c>
      <c r="B61" s="291" t="str">
        <f t="shared" si="23"/>
        <v/>
      </c>
      <c r="C61" s="292" t="str">
        <f t="shared" si="24"/>
        <v/>
      </c>
      <c r="D61" s="293" t="str">
        <f t="shared" si="25"/>
        <v/>
      </c>
      <c r="E61" s="294" t="str">
        <f t="shared" si="26"/>
        <v/>
      </c>
      <c r="F61" s="295" t="str">
        <f t="shared" si="27"/>
        <v/>
      </c>
      <c r="G61" s="281" t="str">
        <f t="shared" si="28"/>
        <v/>
      </c>
      <c r="H61" s="296" t="str">
        <f t="shared" si="29"/>
        <v/>
      </c>
      <c r="I61" s="297"/>
      <c r="J61" s="298"/>
      <c r="L61" s="267" t="str">
        <f>TB!AG53</f>
        <v>Acorus Calamus</v>
      </c>
      <c r="M61" s="267" t="str">
        <f>TB!AD53</f>
        <v/>
      </c>
      <c r="N61" s="267">
        <f>TB!AT53</f>
        <v>0</v>
      </c>
      <c r="O61" s="267">
        <f>TB!AV53</f>
        <v>38</v>
      </c>
      <c r="P61" s="267">
        <f t="shared" si="21"/>
        <v>0</v>
      </c>
      <c r="Q61" s="267">
        <f t="shared" si="8"/>
        <v>0</v>
      </c>
      <c r="R61" s="267" t="str">
        <f>TB!AU53</f>
        <v>x6</v>
      </c>
      <c r="S61" s="267">
        <f>COUNTIF(N$12:N61,N61)</f>
        <v>50</v>
      </c>
      <c r="T61" s="267">
        <v>1</v>
      </c>
      <c r="U61" s="267">
        <f t="shared" si="9"/>
        <v>200</v>
      </c>
      <c r="V61" s="267" t="str">
        <f t="shared" si="10"/>
        <v>Acorus Calamus0</v>
      </c>
      <c r="W61" s="267" t="str">
        <f t="shared" si="20"/>
        <v/>
      </c>
      <c r="X61" s="267" t="str">
        <f>IF(W61&lt;&gt;"",1+COUNT(X$12:X60),"")</f>
        <v/>
      </c>
      <c r="Y61" s="267" t="str">
        <f t="shared" si="11"/>
        <v/>
      </c>
      <c r="Z61" s="267" t="str">
        <f t="shared" si="12"/>
        <v/>
      </c>
      <c r="AA61" s="267" t="str">
        <f t="shared" si="13"/>
        <v/>
      </c>
      <c r="AB61" s="267" t="str">
        <f t="shared" si="14"/>
        <v/>
      </c>
      <c r="AC61" s="267" t="str">
        <f t="shared" si="15"/>
        <v/>
      </c>
      <c r="AD61" s="267" t="str">
        <f t="shared" si="16"/>
        <v/>
      </c>
      <c r="AE61" s="267" t="str">
        <f t="shared" si="22"/>
        <v/>
      </c>
      <c r="AF61" s="267">
        <f t="shared" si="30"/>
        <v>0</v>
      </c>
      <c r="AG61" s="267" t="str">
        <f t="shared" si="19"/>
        <v/>
      </c>
      <c r="AH61" s="267" t="str">
        <f>IFERROR(RANK(AG61,AG$12:AG$211,1)+COUNTIF(AG$12:AG61,AG61)-1,"")</f>
        <v/>
      </c>
      <c r="AM61" s="267">
        <v>50</v>
      </c>
      <c r="AN61" s="267">
        <v>49</v>
      </c>
    </row>
    <row r="62" spans="1:40" x14ac:dyDescent="0.25">
      <c r="A62" s="267">
        <v>51</v>
      </c>
      <c r="B62" s="299" t="str">
        <f t="shared" si="23"/>
        <v/>
      </c>
      <c r="C62" s="300" t="str">
        <f t="shared" si="24"/>
        <v/>
      </c>
      <c r="D62" s="301" t="str">
        <f t="shared" si="25"/>
        <v/>
      </c>
      <c r="E62" s="302" t="str">
        <f>_xlfn.XLOOKUP(A62,AH$12:AH$211,AA$12:AA$211,"")</f>
        <v/>
      </c>
      <c r="F62" s="303" t="str">
        <f t="shared" si="27"/>
        <v/>
      </c>
      <c r="G62" s="304" t="str">
        <f t="shared" si="28"/>
        <v/>
      </c>
      <c r="H62" s="305" t="str">
        <f t="shared" si="29"/>
        <v/>
      </c>
      <c r="I62" s="306"/>
      <c r="J62" s="307"/>
      <c r="L62" s="267" t="str">
        <f>TB!AG54</f>
        <v>Acorus Calamus</v>
      </c>
      <c r="M62" s="267" t="str">
        <f>TB!AD54</f>
        <v/>
      </c>
      <c r="N62" s="267">
        <f>TB!AT54</f>
        <v>0</v>
      </c>
      <c r="O62" s="267">
        <f>TB!AV54</f>
        <v>38</v>
      </c>
      <c r="P62" s="267">
        <f t="shared" si="21"/>
        <v>0</v>
      </c>
      <c r="Q62" s="267">
        <f t="shared" si="8"/>
        <v>0</v>
      </c>
      <c r="R62" s="267" t="str">
        <f>TB!AU54</f>
        <v>x6</v>
      </c>
      <c r="S62" s="267">
        <f>COUNTIF(N$12:N62,N62)</f>
        <v>51</v>
      </c>
      <c r="T62" s="267">
        <v>1</v>
      </c>
      <c r="U62" s="267">
        <f t="shared" si="9"/>
        <v>200</v>
      </c>
      <c r="V62" s="267" t="str">
        <f t="shared" si="10"/>
        <v>Acorus Calamus0</v>
      </c>
      <c r="W62" s="267" t="str">
        <f t="shared" si="20"/>
        <v/>
      </c>
      <c r="X62" s="267" t="str">
        <f>IF(W62&lt;&gt;"",1+COUNT(X$12:X61),"")</f>
        <v/>
      </c>
      <c r="Y62" s="267" t="str">
        <f t="shared" si="11"/>
        <v/>
      </c>
      <c r="Z62" s="267" t="str">
        <f t="shared" si="12"/>
        <v/>
      </c>
      <c r="AA62" s="267" t="str">
        <f t="shared" si="13"/>
        <v/>
      </c>
      <c r="AB62" s="267" t="str">
        <f t="shared" si="14"/>
        <v/>
      </c>
      <c r="AC62" s="267" t="str">
        <f t="shared" si="15"/>
        <v/>
      </c>
      <c r="AD62" s="267" t="str">
        <f t="shared" si="16"/>
        <v/>
      </c>
      <c r="AE62" s="267" t="str">
        <f t="shared" si="22"/>
        <v/>
      </c>
      <c r="AF62" s="267">
        <f t="shared" si="30"/>
        <v>0</v>
      </c>
      <c r="AG62" s="267" t="str">
        <f t="shared" si="19"/>
        <v/>
      </c>
      <c r="AH62" s="267" t="str">
        <f>IFERROR(RANK(AG62,AG$12:AG$211,1)+COUNTIF(AG$12:AG62,AG62)-1,"")</f>
        <v/>
      </c>
      <c r="AM62" s="267">
        <v>51</v>
      </c>
      <c r="AN62" s="267">
        <v>47</v>
      </c>
    </row>
    <row r="63" spans="1:40" x14ac:dyDescent="0.25">
      <c r="A63" s="267">
        <v>52</v>
      </c>
      <c r="B63" s="291" t="str">
        <f t="shared" si="23"/>
        <v/>
      </c>
      <c r="C63" s="292" t="str">
        <f t="shared" si="24"/>
        <v/>
      </c>
      <c r="D63" s="293" t="str">
        <f t="shared" si="25"/>
        <v/>
      </c>
      <c r="E63" s="294" t="str">
        <f t="shared" ref="E63:E94" si="31">_xlfn.SINGLE(_xlfn.XLOOKUP(A63,AH$12:AH$211,AA$12:AA$211,""))</f>
        <v/>
      </c>
      <c r="F63" s="295" t="str">
        <f t="shared" si="27"/>
        <v/>
      </c>
      <c r="G63" s="281" t="str">
        <f t="shared" si="28"/>
        <v/>
      </c>
      <c r="H63" s="296" t="str">
        <f t="shared" si="29"/>
        <v/>
      </c>
      <c r="I63" s="297"/>
      <c r="J63" s="298"/>
      <c r="L63" s="267" t="str">
        <f>TB!AG55</f>
        <v>Acorus Calamus</v>
      </c>
      <c r="M63" s="267" t="str">
        <f>TB!AD55</f>
        <v/>
      </c>
      <c r="N63" s="267">
        <f>TB!AT55</f>
        <v>0</v>
      </c>
      <c r="O63" s="267">
        <f>TB!AV55</f>
        <v>38</v>
      </c>
      <c r="P63" s="267">
        <f t="shared" si="21"/>
        <v>0</v>
      </c>
      <c r="Q63" s="267">
        <f t="shared" si="8"/>
        <v>0</v>
      </c>
      <c r="R63" s="267" t="str">
        <f>TB!AU55</f>
        <v>x6</v>
      </c>
      <c r="S63" s="267">
        <f>COUNTIF(N$12:N63,N63)</f>
        <v>52</v>
      </c>
      <c r="T63" s="267">
        <v>1</v>
      </c>
      <c r="U63" s="267">
        <f t="shared" si="9"/>
        <v>200</v>
      </c>
      <c r="V63" s="267" t="str">
        <f t="shared" si="10"/>
        <v>Acorus Calamus0</v>
      </c>
      <c r="W63" s="267" t="str">
        <f t="shared" si="20"/>
        <v/>
      </c>
      <c r="X63" s="267" t="str">
        <f>IF(W63&lt;&gt;"",1+COUNT(X$12:X62),"")</f>
        <v/>
      </c>
      <c r="Y63" s="267" t="str">
        <f t="shared" si="11"/>
        <v/>
      </c>
      <c r="Z63" s="267" t="str">
        <f t="shared" si="12"/>
        <v/>
      </c>
      <c r="AA63" s="267" t="str">
        <f t="shared" si="13"/>
        <v/>
      </c>
      <c r="AB63" s="267" t="str">
        <f t="shared" si="14"/>
        <v/>
      </c>
      <c r="AC63" s="267" t="str">
        <f t="shared" si="15"/>
        <v/>
      </c>
      <c r="AD63" s="267" t="str">
        <f t="shared" si="16"/>
        <v/>
      </c>
      <c r="AE63" s="267" t="str">
        <f t="shared" si="22"/>
        <v/>
      </c>
      <c r="AF63" s="267">
        <f t="shared" si="30"/>
        <v>0</v>
      </c>
      <c r="AG63" s="267" t="str">
        <f t="shared" si="19"/>
        <v/>
      </c>
      <c r="AH63" s="267" t="str">
        <f>IFERROR(RANK(AG63,AG$12:AG$211,1)+COUNTIF(AG$12:AG63,AG63)-1,"")</f>
        <v/>
      </c>
      <c r="AM63" s="267">
        <v>52</v>
      </c>
      <c r="AN63" s="267">
        <v>45</v>
      </c>
    </row>
    <row r="64" spans="1:40" x14ac:dyDescent="0.25">
      <c r="A64" s="267">
        <v>53</v>
      </c>
      <c r="B64" s="299" t="str">
        <f t="shared" si="23"/>
        <v/>
      </c>
      <c r="C64" s="300" t="str">
        <f t="shared" si="24"/>
        <v/>
      </c>
      <c r="D64" s="301" t="str">
        <f t="shared" si="25"/>
        <v/>
      </c>
      <c r="E64" s="302" t="str">
        <f t="shared" si="31"/>
        <v/>
      </c>
      <c r="F64" s="303" t="str">
        <f t="shared" si="27"/>
        <v/>
      </c>
      <c r="G64" s="304" t="str">
        <f t="shared" si="28"/>
        <v/>
      </c>
      <c r="H64" s="305" t="str">
        <f t="shared" si="29"/>
        <v/>
      </c>
      <c r="I64" s="306"/>
      <c r="J64" s="307"/>
      <c r="L64" s="267" t="str">
        <f>TB!AG56</f>
        <v>Acorus Calamus</v>
      </c>
      <c r="M64" s="267" t="str">
        <f>TB!AD56</f>
        <v/>
      </c>
      <c r="N64" s="267">
        <f>TB!AT56</f>
        <v>0</v>
      </c>
      <c r="O64" s="267">
        <f>TB!AV56</f>
        <v>38</v>
      </c>
      <c r="P64" s="267">
        <f t="shared" si="21"/>
        <v>0</v>
      </c>
      <c r="Q64" s="267">
        <f t="shared" si="8"/>
        <v>0</v>
      </c>
      <c r="R64" s="267" t="str">
        <f>TB!AU56</f>
        <v>x6</v>
      </c>
      <c r="S64" s="267">
        <f>COUNTIF(N$12:N64,N64)</f>
        <v>53</v>
      </c>
      <c r="T64" s="267">
        <v>1</v>
      </c>
      <c r="U64" s="267">
        <f t="shared" si="9"/>
        <v>200</v>
      </c>
      <c r="V64" s="267" t="str">
        <f t="shared" si="10"/>
        <v>Acorus Calamus0</v>
      </c>
      <c r="W64" s="267" t="str">
        <f t="shared" si="20"/>
        <v/>
      </c>
      <c r="X64" s="267" t="str">
        <f>IF(W64&lt;&gt;"",1+COUNT(X$12:X63),"")</f>
        <v/>
      </c>
      <c r="Y64" s="267" t="str">
        <f t="shared" si="11"/>
        <v/>
      </c>
      <c r="Z64" s="267" t="str">
        <f t="shared" si="12"/>
        <v/>
      </c>
      <c r="AA64" s="267" t="str">
        <f t="shared" si="13"/>
        <v/>
      </c>
      <c r="AB64" s="267" t="str">
        <f t="shared" si="14"/>
        <v/>
      </c>
      <c r="AC64" s="267" t="str">
        <f t="shared" si="15"/>
        <v/>
      </c>
      <c r="AD64" s="267" t="str">
        <f t="shared" si="16"/>
        <v/>
      </c>
      <c r="AE64" s="267" t="str">
        <f t="shared" si="22"/>
        <v/>
      </c>
      <c r="AF64" s="267">
        <f t="shared" si="30"/>
        <v>0</v>
      </c>
      <c r="AG64" s="267" t="str">
        <f t="shared" si="19"/>
        <v/>
      </c>
      <c r="AH64" s="267" t="str">
        <f>IFERROR(RANK(AG64,AG$12:AG$211,1)+COUNTIF(AG$12:AG64,AG64)-1,"")</f>
        <v/>
      </c>
      <c r="AM64" s="267">
        <v>53</v>
      </c>
      <c r="AN64" s="267">
        <v>43</v>
      </c>
    </row>
    <row r="65" spans="1:40" x14ac:dyDescent="0.25">
      <c r="A65" s="267">
        <v>54</v>
      </c>
      <c r="B65" s="291" t="str">
        <f t="shared" si="23"/>
        <v/>
      </c>
      <c r="C65" s="292" t="str">
        <f t="shared" si="24"/>
        <v/>
      </c>
      <c r="D65" s="293" t="str">
        <f t="shared" si="25"/>
        <v/>
      </c>
      <c r="E65" s="294" t="str">
        <f t="shared" si="31"/>
        <v/>
      </c>
      <c r="F65" s="295" t="str">
        <f t="shared" si="27"/>
        <v/>
      </c>
      <c r="G65" s="281" t="str">
        <f t="shared" si="28"/>
        <v/>
      </c>
      <c r="H65" s="296" t="str">
        <f t="shared" si="29"/>
        <v/>
      </c>
      <c r="I65" s="297"/>
      <c r="J65" s="298"/>
      <c r="L65" s="267" t="str">
        <f>TB!AG57</f>
        <v>Acorus Calamus</v>
      </c>
      <c r="M65" s="267" t="str">
        <f>TB!AD57</f>
        <v/>
      </c>
      <c r="N65" s="267">
        <f>TB!AT57</f>
        <v>0</v>
      </c>
      <c r="O65" s="267">
        <f>TB!AV57</f>
        <v>38</v>
      </c>
      <c r="P65" s="267">
        <f t="shared" si="21"/>
        <v>0</v>
      </c>
      <c r="Q65" s="267">
        <f t="shared" si="8"/>
        <v>0</v>
      </c>
      <c r="R65" s="267" t="str">
        <f>TB!AU57</f>
        <v>x6</v>
      </c>
      <c r="S65" s="267">
        <f>COUNTIF(N$12:N65,N65)</f>
        <v>54</v>
      </c>
      <c r="T65" s="267">
        <v>1</v>
      </c>
      <c r="U65" s="267">
        <f t="shared" si="9"/>
        <v>200</v>
      </c>
      <c r="V65" s="267" t="str">
        <f t="shared" si="10"/>
        <v>Acorus Calamus0</v>
      </c>
      <c r="W65" s="267" t="str">
        <f t="shared" si="20"/>
        <v/>
      </c>
      <c r="X65" s="267" t="str">
        <f>IF(W65&lt;&gt;"",1+COUNT(X$12:X64),"")</f>
        <v/>
      </c>
      <c r="Y65" s="267" t="str">
        <f t="shared" si="11"/>
        <v/>
      </c>
      <c r="Z65" s="267" t="str">
        <f t="shared" si="12"/>
        <v/>
      </c>
      <c r="AA65" s="267" t="str">
        <f t="shared" si="13"/>
        <v/>
      </c>
      <c r="AB65" s="267" t="str">
        <f t="shared" si="14"/>
        <v/>
      </c>
      <c r="AC65" s="267" t="str">
        <f t="shared" si="15"/>
        <v/>
      </c>
      <c r="AD65" s="267" t="str">
        <f t="shared" si="16"/>
        <v/>
      </c>
      <c r="AE65" s="267" t="str">
        <f t="shared" si="22"/>
        <v/>
      </c>
      <c r="AF65" s="267">
        <f t="shared" si="30"/>
        <v>0</v>
      </c>
      <c r="AG65" s="267" t="str">
        <f t="shared" si="19"/>
        <v/>
      </c>
      <c r="AH65" s="267" t="str">
        <f>IFERROR(RANK(AG65,AG$12:AG$211,1)+COUNTIF(AG$12:AG65,AG65)-1,"")</f>
        <v/>
      </c>
      <c r="AM65" s="267">
        <v>54</v>
      </c>
      <c r="AN65" s="267">
        <v>42</v>
      </c>
    </row>
    <row r="66" spans="1:40" x14ac:dyDescent="0.25">
      <c r="A66" s="267">
        <v>55</v>
      </c>
      <c r="B66" s="299" t="str">
        <f t="shared" si="23"/>
        <v/>
      </c>
      <c r="C66" s="300" t="str">
        <f t="shared" si="24"/>
        <v/>
      </c>
      <c r="D66" s="301" t="str">
        <f t="shared" si="25"/>
        <v/>
      </c>
      <c r="E66" s="302" t="str">
        <f t="shared" si="31"/>
        <v/>
      </c>
      <c r="F66" s="303" t="str">
        <f t="shared" si="27"/>
        <v/>
      </c>
      <c r="G66" s="304" t="str">
        <f t="shared" si="28"/>
        <v/>
      </c>
      <c r="H66" s="305" t="str">
        <f t="shared" si="29"/>
        <v/>
      </c>
      <c r="I66" s="306"/>
      <c r="J66" s="307"/>
      <c r="L66" s="267" t="str">
        <f>TB!AG58</f>
        <v>Acorus Calamus</v>
      </c>
      <c r="M66" s="267" t="str">
        <f>TB!AD58</f>
        <v/>
      </c>
      <c r="N66" s="267">
        <f>TB!AT58</f>
        <v>0</v>
      </c>
      <c r="O66" s="267">
        <f>TB!AV58</f>
        <v>38</v>
      </c>
      <c r="P66" s="267">
        <f t="shared" si="21"/>
        <v>0</v>
      </c>
      <c r="Q66" s="267">
        <f t="shared" si="8"/>
        <v>0</v>
      </c>
      <c r="R66" s="267" t="str">
        <f>TB!AU58</f>
        <v>x6</v>
      </c>
      <c r="S66" s="267">
        <f>COUNTIF(N$12:N66,N66)</f>
        <v>55</v>
      </c>
      <c r="T66" s="267">
        <v>1</v>
      </c>
      <c r="U66" s="267">
        <f t="shared" si="9"/>
        <v>200</v>
      </c>
      <c r="V66" s="267" t="str">
        <f t="shared" si="10"/>
        <v>Acorus Calamus0</v>
      </c>
      <c r="W66" s="267" t="str">
        <f t="shared" si="20"/>
        <v/>
      </c>
      <c r="X66" s="267" t="str">
        <f>IF(W66&lt;&gt;"",1+COUNT(X$12:X65),"")</f>
        <v/>
      </c>
      <c r="Y66" s="267" t="str">
        <f t="shared" si="11"/>
        <v/>
      </c>
      <c r="Z66" s="267" t="str">
        <f t="shared" si="12"/>
        <v/>
      </c>
      <c r="AA66" s="267" t="str">
        <f t="shared" si="13"/>
        <v/>
      </c>
      <c r="AB66" s="267" t="str">
        <f t="shared" si="14"/>
        <v/>
      </c>
      <c r="AC66" s="267" t="str">
        <f t="shared" si="15"/>
        <v/>
      </c>
      <c r="AD66" s="267" t="str">
        <f t="shared" si="16"/>
        <v/>
      </c>
      <c r="AE66" s="267" t="str">
        <f t="shared" si="22"/>
        <v/>
      </c>
      <c r="AF66" s="267">
        <f t="shared" si="30"/>
        <v>0</v>
      </c>
      <c r="AG66" s="267" t="str">
        <f t="shared" si="19"/>
        <v/>
      </c>
      <c r="AH66" s="267" t="str">
        <f>IFERROR(RANK(AG66,AG$12:AG$211,1)+COUNTIF(AG$12:AG66,AG66)-1,"")</f>
        <v/>
      </c>
      <c r="AM66" s="267">
        <v>55</v>
      </c>
      <c r="AN66" s="267">
        <v>41</v>
      </c>
    </row>
    <row r="67" spans="1:40" x14ac:dyDescent="0.25">
      <c r="A67" s="267">
        <v>56</v>
      </c>
      <c r="B67" s="291" t="str">
        <f t="shared" si="23"/>
        <v/>
      </c>
      <c r="C67" s="292" t="str">
        <f t="shared" si="24"/>
        <v/>
      </c>
      <c r="D67" s="293" t="str">
        <f t="shared" si="25"/>
        <v/>
      </c>
      <c r="E67" s="294" t="str">
        <f t="shared" si="31"/>
        <v/>
      </c>
      <c r="F67" s="295" t="str">
        <f t="shared" si="27"/>
        <v/>
      </c>
      <c r="G67" s="281" t="str">
        <f t="shared" si="28"/>
        <v/>
      </c>
      <c r="H67" s="296" t="str">
        <f t="shared" si="29"/>
        <v/>
      </c>
      <c r="I67" s="297"/>
      <c r="J67" s="298"/>
      <c r="L67" s="267" t="str">
        <f>TB!AG59</f>
        <v>Acorus Calamus</v>
      </c>
      <c r="M67" s="267" t="str">
        <f>TB!AD59</f>
        <v/>
      </c>
      <c r="N67" s="267">
        <f>TB!AT59</f>
        <v>0</v>
      </c>
      <c r="O67" s="267">
        <f>TB!AV59</f>
        <v>38</v>
      </c>
      <c r="P67" s="267">
        <f t="shared" si="21"/>
        <v>0</v>
      </c>
      <c r="Q67" s="267">
        <f t="shared" si="8"/>
        <v>0</v>
      </c>
      <c r="R67" s="267" t="str">
        <f>TB!AU59</f>
        <v>x6</v>
      </c>
      <c r="S67" s="267">
        <f>COUNTIF(N$12:N67,N67)</f>
        <v>56</v>
      </c>
      <c r="T67" s="267">
        <v>1</v>
      </c>
      <c r="U67" s="267">
        <f t="shared" si="9"/>
        <v>200</v>
      </c>
      <c r="V67" s="267" t="str">
        <f t="shared" si="10"/>
        <v>Acorus Calamus0</v>
      </c>
      <c r="W67" s="267" t="str">
        <f t="shared" si="20"/>
        <v/>
      </c>
      <c r="X67" s="267" t="str">
        <f>IF(W67&lt;&gt;"",1+COUNT(X$12:X66),"")</f>
        <v/>
      </c>
      <c r="Y67" s="267" t="str">
        <f t="shared" si="11"/>
        <v/>
      </c>
      <c r="Z67" s="267" t="str">
        <f t="shared" si="12"/>
        <v/>
      </c>
      <c r="AA67" s="267" t="str">
        <f t="shared" si="13"/>
        <v/>
      </c>
      <c r="AB67" s="267" t="str">
        <f t="shared" si="14"/>
        <v/>
      </c>
      <c r="AC67" s="267" t="str">
        <f t="shared" si="15"/>
        <v/>
      </c>
      <c r="AD67" s="267" t="str">
        <f t="shared" si="16"/>
        <v/>
      </c>
      <c r="AE67" s="267" t="str">
        <f t="shared" si="22"/>
        <v/>
      </c>
      <c r="AF67" s="267">
        <f t="shared" si="30"/>
        <v>0</v>
      </c>
      <c r="AG67" s="267" t="str">
        <f t="shared" si="19"/>
        <v/>
      </c>
      <c r="AH67" s="267" t="str">
        <f>IFERROR(RANK(AG67,AG$12:AG$211,1)+COUNTIF(AG$12:AG67,AG67)-1,"")</f>
        <v/>
      </c>
      <c r="AM67" s="267">
        <v>56</v>
      </c>
      <c r="AN67" s="267">
        <v>40</v>
      </c>
    </row>
    <row r="68" spans="1:40" x14ac:dyDescent="0.25">
      <c r="A68" s="267">
        <v>57</v>
      </c>
      <c r="B68" s="299" t="str">
        <f t="shared" si="23"/>
        <v/>
      </c>
      <c r="C68" s="300" t="str">
        <f t="shared" si="24"/>
        <v/>
      </c>
      <c r="D68" s="301" t="str">
        <f t="shared" si="25"/>
        <v/>
      </c>
      <c r="E68" s="302" t="str">
        <f t="shared" si="31"/>
        <v/>
      </c>
      <c r="F68" s="303" t="str">
        <f t="shared" si="27"/>
        <v/>
      </c>
      <c r="G68" s="304" t="str">
        <f t="shared" si="28"/>
        <v/>
      </c>
      <c r="H68" s="305" t="str">
        <f t="shared" si="29"/>
        <v/>
      </c>
      <c r="I68" s="306"/>
      <c r="J68" s="307"/>
      <c r="L68" s="267" t="str">
        <f>TB!AG60</f>
        <v>Acorus Calamus</v>
      </c>
      <c r="M68" s="267" t="str">
        <f>TB!AD60</f>
        <v/>
      </c>
      <c r="N68" s="267">
        <f>TB!AT60</f>
        <v>0</v>
      </c>
      <c r="O68" s="267">
        <f>TB!AV60</f>
        <v>38</v>
      </c>
      <c r="P68" s="267">
        <f t="shared" si="21"/>
        <v>0</v>
      </c>
      <c r="Q68" s="267">
        <f t="shared" si="8"/>
        <v>0</v>
      </c>
      <c r="R68" s="267" t="str">
        <f>TB!AU60</f>
        <v>x6</v>
      </c>
      <c r="S68" s="267">
        <f>COUNTIF(N$12:N68,N68)</f>
        <v>57</v>
      </c>
      <c r="T68" s="267">
        <v>1</v>
      </c>
      <c r="U68" s="267">
        <f t="shared" si="9"/>
        <v>200</v>
      </c>
      <c r="V68" s="267" t="str">
        <f t="shared" si="10"/>
        <v>Acorus Calamus0</v>
      </c>
      <c r="W68" s="267" t="str">
        <f t="shared" si="20"/>
        <v/>
      </c>
      <c r="X68" s="267" t="str">
        <f>IF(W68&lt;&gt;"",1+COUNT(X$12:X67),"")</f>
        <v/>
      </c>
      <c r="Y68" s="267" t="str">
        <f t="shared" si="11"/>
        <v/>
      </c>
      <c r="Z68" s="267" t="str">
        <f t="shared" si="12"/>
        <v/>
      </c>
      <c r="AA68" s="267" t="str">
        <f t="shared" si="13"/>
        <v/>
      </c>
      <c r="AB68" s="267" t="str">
        <f t="shared" si="14"/>
        <v/>
      </c>
      <c r="AC68" s="267" t="str">
        <f t="shared" si="15"/>
        <v/>
      </c>
      <c r="AD68" s="267" t="str">
        <f t="shared" si="16"/>
        <v/>
      </c>
      <c r="AE68" s="267" t="str">
        <f t="shared" si="22"/>
        <v/>
      </c>
      <c r="AF68" s="267">
        <f t="shared" si="30"/>
        <v>0</v>
      </c>
      <c r="AG68" s="267" t="str">
        <f t="shared" si="19"/>
        <v/>
      </c>
      <c r="AH68" s="267" t="str">
        <f>IFERROR(RANK(AG68,AG$12:AG$211,1)+COUNTIF(AG$12:AG68,AG68)-1,"")</f>
        <v/>
      </c>
      <c r="AM68" s="267">
        <v>57</v>
      </c>
      <c r="AN68" s="267">
        <v>39</v>
      </c>
    </row>
    <row r="69" spans="1:40" x14ac:dyDescent="0.25">
      <c r="A69" s="267">
        <v>58</v>
      </c>
      <c r="B69" s="291" t="str">
        <f t="shared" si="23"/>
        <v/>
      </c>
      <c r="C69" s="292" t="str">
        <f t="shared" si="24"/>
        <v/>
      </c>
      <c r="D69" s="293" t="str">
        <f t="shared" si="25"/>
        <v/>
      </c>
      <c r="E69" s="294" t="str">
        <f t="shared" si="31"/>
        <v/>
      </c>
      <c r="F69" s="295" t="str">
        <f t="shared" si="27"/>
        <v/>
      </c>
      <c r="G69" s="281" t="str">
        <f t="shared" si="28"/>
        <v/>
      </c>
      <c r="H69" s="296" t="str">
        <f t="shared" si="29"/>
        <v/>
      </c>
      <c r="I69" s="297"/>
      <c r="J69" s="298"/>
      <c r="L69" s="267" t="str">
        <f>TB!AG61</f>
        <v>Acorus Calamus</v>
      </c>
      <c r="M69" s="267" t="str">
        <f>TB!AD61</f>
        <v/>
      </c>
      <c r="N69" s="267">
        <f>TB!AT61</f>
        <v>0</v>
      </c>
      <c r="O69" s="267">
        <f>TB!AV61</f>
        <v>38</v>
      </c>
      <c r="P69" s="267">
        <f t="shared" si="21"/>
        <v>0</v>
      </c>
      <c r="Q69" s="267">
        <f t="shared" si="8"/>
        <v>0</v>
      </c>
      <c r="R69" s="267" t="str">
        <f>TB!AU61</f>
        <v>x6</v>
      </c>
      <c r="S69" s="267">
        <f>COUNTIF(N$12:N69,N69)</f>
        <v>58</v>
      </c>
      <c r="T69" s="267">
        <v>1</v>
      </c>
      <c r="U69" s="267">
        <f t="shared" si="9"/>
        <v>200</v>
      </c>
      <c r="V69" s="267" t="str">
        <f t="shared" si="10"/>
        <v>Acorus Calamus0</v>
      </c>
      <c r="W69" s="267" t="str">
        <f t="shared" si="20"/>
        <v/>
      </c>
      <c r="X69" s="267" t="str">
        <f>IF(W69&lt;&gt;"",1+COUNT(X$12:X68),"")</f>
        <v/>
      </c>
      <c r="Y69" s="267" t="str">
        <f t="shared" si="11"/>
        <v/>
      </c>
      <c r="Z69" s="267" t="str">
        <f t="shared" si="12"/>
        <v/>
      </c>
      <c r="AA69" s="267" t="str">
        <f t="shared" si="13"/>
        <v/>
      </c>
      <c r="AB69" s="267" t="str">
        <f t="shared" si="14"/>
        <v/>
      </c>
      <c r="AC69" s="267" t="str">
        <f t="shared" si="15"/>
        <v/>
      </c>
      <c r="AD69" s="267" t="str">
        <f t="shared" si="16"/>
        <v/>
      </c>
      <c r="AE69" s="267" t="str">
        <f t="shared" si="22"/>
        <v/>
      </c>
      <c r="AF69" s="267">
        <f t="shared" si="30"/>
        <v>0</v>
      </c>
      <c r="AG69" s="267" t="str">
        <f t="shared" si="19"/>
        <v/>
      </c>
      <c r="AH69" s="267" t="str">
        <f>IFERROR(RANK(AG69,AG$12:AG$211,1)+COUNTIF(AG$12:AG69,AG69)-1,"")</f>
        <v/>
      </c>
      <c r="AM69" s="267">
        <v>58</v>
      </c>
      <c r="AN69" s="267">
        <v>44</v>
      </c>
    </row>
    <row r="70" spans="1:40" x14ac:dyDescent="0.25">
      <c r="A70" s="267">
        <v>59</v>
      </c>
      <c r="B70" s="299" t="str">
        <f t="shared" si="23"/>
        <v/>
      </c>
      <c r="C70" s="300" t="str">
        <f t="shared" si="24"/>
        <v/>
      </c>
      <c r="D70" s="301" t="str">
        <f t="shared" si="25"/>
        <v/>
      </c>
      <c r="E70" s="302" t="str">
        <f t="shared" si="31"/>
        <v/>
      </c>
      <c r="F70" s="303" t="str">
        <f t="shared" si="27"/>
        <v/>
      </c>
      <c r="G70" s="304" t="str">
        <f t="shared" si="28"/>
        <v/>
      </c>
      <c r="H70" s="305" t="str">
        <f t="shared" si="29"/>
        <v/>
      </c>
      <c r="I70" s="306"/>
      <c r="J70" s="307"/>
      <c r="L70" s="267" t="str">
        <f>TB!AG62</f>
        <v>Acorus Calamus</v>
      </c>
      <c r="M70" s="267" t="str">
        <f>TB!AD62</f>
        <v/>
      </c>
      <c r="N70" s="267">
        <f>TB!AT62</f>
        <v>0</v>
      </c>
      <c r="O70" s="267">
        <f>TB!AV62</f>
        <v>38</v>
      </c>
      <c r="P70" s="267">
        <f t="shared" si="21"/>
        <v>0</v>
      </c>
      <c r="Q70" s="267">
        <f t="shared" si="8"/>
        <v>0</v>
      </c>
      <c r="R70" s="267" t="str">
        <f>TB!AU62</f>
        <v>x6</v>
      </c>
      <c r="S70" s="267">
        <f>COUNTIF(N$12:N70,N70)</f>
        <v>59</v>
      </c>
      <c r="T70" s="267">
        <v>1</v>
      </c>
      <c r="U70" s="267">
        <f t="shared" si="9"/>
        <v>200</v>
      </c>
      <c r="V70" s="267" t="str">
        <f t="shared" si="10"/>
        <v>Acorus Calamus0</v>
      </c>
      <c r="W70" s="267" t="str">
        <f t="shared" si="20"/>
        <v/>
      </c>
      <c r="X70" s="267" t="str">
        <f>IF(W70&lt;&gt;"",1+COUNT(X$12:X69),"")</f>
        <v/>
      </c>
      <c r="Y70" s="267" t="str">
        <f t="shared" si="11"/>
        <v/>
      </c>
      <c r="Z70" s="267" t="str">
        <f t="shared" si="12"/>
        <v/>
      </c>
      <c r="AA70" s="267" t="str">
        <f t="shared" si="13"/>
        <v/>
      </c>
      <c r="AB70" s="267" t="str">
        <f t="shared" si="14"/>
        <v/>
      </c>
      <c r="AC70" s="267" t="str">
        <f t="shared" si="15"/>
        <v/>
      </c>
      <c r="AD70" s="267" t="str">
        <f t="shared" si="16"/>
        <v/>
      </c>
      <c r="AE70" s="267" t="str">
        <f t="shared" si="22"/>
        <v/>
      </c>
      <c r="AF70" s="267">
        <f t="shared" si="30"/>
        <v>0</v>
      </c>
      <c r="AG70" s="267" t="str">
        <f t="shared" si="19"/>
        <v/>
      </c>
      <c r="AH70" s="267" t="str">
        <f>IFERROR(RANK(AG70,AG$12:AG$211,1)+COUNTIF(AG$12:AG70,AG70)-1,"")</f>
        <v/>
      </c>
      <c r="AM70" s="267">
        <v>59</v>
      </c>
      <c r="AN70" s="267">
        <v>46</v>
      </c>
    </row>
    <row r="71" spans="1:40" x14ac:dyDescent="0.25">
      <c r="A71" s="267">
        <v>60</v>
      </c>
      <c r="B71" s="291" t="str">
        <f t="shared" si="23"/>
        <v/>
      </c>
      <c r="C71" s="292" t="str">
        <f t="shared" si="24"/>
        <v/>
      </c>
      <c r="D71" s="293" t="str">
        <f t="shared" si="25"/>
        <v/>
      </c>
      <c r="E71" s="294" t="str">
        <f t="shared" si="31"/>
        <v/>
      </c>
      <c r="F71" s="295" t="str">
        <f t="shared" si="27"/>
        <v/>
      </c>
      <c r="G71" s="281" t="str">
        <f t="shared" si="28"/>
        <v/>
      </c>
      <c r="H71" s="296" t="str">
        <f t="shared" si="29"/>
        <v/>
      </c>
      <c r="I71" s="297"/>
      <c r="J71" s="298"/>
      <c r="L71" s="267" t="str">
        <f>TB!AG63</f>
        <v>Acorus Calamus</v>
      </c>
      <c r="M71" s="267" t="str">
        <f>TB!AD63</f>
        <v/>
      </c>
      <c r="N71" s="267">
        <f>TB!AT63</f>
        <v>0</v>
      </c>
      <c r="O71" s="267">
        <f>TB!AV63</f>
        <v>38</v>
      </c>
      <c r="P71" s="267">
        <f t="shared" si="21"/>
        <v>0</v>
      </c>
      <c r="Q71" s="267">
        <f t="shared" si="8"/>
        <v>0</v>
      </c>
      <c r="R71" s="267" t="str">
        <f>TB!AU63</f>
        <v>x6</v>
      </c>
      <c r="S71" s="267">
        <f>COUNTIF(N$12:N71,N71)</f>
        <v>60</v>
      </c>
      <c r="T71" s="267">
        <v>1</v>
      </c>
      <c r="U71" s="267">
        <f t="shared" si="9"/>
        <v>200</v>
      </c>
      <c r="V71" s="267" t="str">
        <f t="shared" si="10"/>
        <v>Acorus Calamus0</v>
      </c>
      <c r="W71" s="267" t="str">
        <f t="shared" si="20"/>
        <v/>
      </c>
      <c r="X71" s="267" t="str">
        <f>IF(W71&lt;&gt;"",1+COUNT(X$12:X70),"")</f>
        <v/>
      </c>
      <c r="Y71" s="267" t="str">
        <f t="shared" si="11"/>
        <v/>
      </c>
      <c r="Z71" s="267" t="str">
        <f t="shared" si="12"/>
        <v/>
      </c>
      <c r="AA71" s="267" t="str">
        <f t="shared" si="13"/>
        <v/>
      </c>
      <c r="AB71" s="267" t="str">
        <f t="shared" si="14"/>
        <v/>
      </c>
      <c r="AC71" s="267" t="str">
        <f t="shared" si="15"/>
        <v/>
      </c>
      <c r="AD71" s="267" t="str">
        <f t="shared" si="16"/>
        <v/>
      </c>
      <c r="AE71" s="267" t="str">
        <f t="shared" si="22"/>
        <v/>
      </c>
      <c r="AF71" s="267">
        <f t="shared" si="30"/>
        <v>0</v>
      </c>
      <c r="AG71" s="267" t="str">
        <f t="shared" si="19"/>
        <v/>
      </c>
      <c r="AH71" s="267" t="str">
        <f>IFERROR(RANK(AG71,AG$12:AG$211,1)+COUNTIF(AG$12:AG71,AG71)-1,"")</f>
        <v/>
      </c>
      <c r="AM71" s="267">
        <v>60</v>
      </c>
      <c r="AN71" s="267">
        <v>48</v>
      </c>
    </row>
    <row r="72" spans="1:40" x14ac:dyDescent="0.25">
      <c r="A72" s="267">
        <v>61</v>
      </c>
      <c r="B72" s="299" t="str">
        <f t="shared" si="23"/>
        <v/>
      </c>
      <c r="C72" s="300" t="str">
        <f t="shared" si="24"/>
        <v/>
      </c>
      <c r="D72" s="301" t="str">
        <f t="shared" si="25"/>
        <v/>
      </c>
      <c r="E72" s="302" t="str">
        <f t="shared" si="31"/>
        <v/>
      </c>
      <c r="F72" s="303" t="str">
        <f t="shared" si="27"/>
        <v/>
      </c>
      <c r="G72" s="304" t="str">
        <f t="shared" si="28"/>
        <v/>
      </c>
      <c r="H72" s="305" t="str">
        <f t="shared" si="29"/>
        <v/>
      </c>
      <c r="I72" s="306"/>
      <c r="J72" s="307"/>
      <c r="L72" s="267" t="str">
        <f>TB!AG64</f>
        <v>Acorus Calamus</v>
      </c>
      <c r="M72" s="267" t="str">
        <f>TB!AD64</f>
        <v/>
      </c>
      <c r="N72" s="267">
        <f>TB!AT64</f>
        <v>0</v>
      </c>
      <c r="O72" s="267">
        <f>TB!AV64</f>
        <v>38</v>
      </c>
      <c r="P72" s="267">
        <f t="shared" si="21"/>
        <v>0</v>
      </c>
      <c r="Q72" s="267">
        <f t="shared" si="8"/>
        <v>0</v>
      </c>
      <c r="R72" s="267" t="str">
        <f>TB!AU64</f>
        <v>x6</v>
      </c>
      <c r="S72" s="267">
        <f>COUNTIF(N$12:N72,N72)</f>
        <v>61</v>
      </c>
      <c r="T72" s="267">
        <v>1</v>
      </c>
      <c r="U72" s="267">
        <f t="shared" si="9"/>
        <v>200</v>
      </c>
      <c r="V72" s="267" t="str">
        <f t="shared" si="10"/>
        <v>Acorus Calamus0</v>
      </c>
      <c r="W72" s="267" t="str">
        <f t="shared" si="20"/>
        <v/>
      </c>
      <c r="X72" s="267" t="str">
        <f>IF(W72&lt;&gt;"",1+COUNT(X$12:X71),"")</f>
        <v/>
      </c>
      <c r="Y72" s="267" t="str">
        <f t="shared" si="11"/>
        <v/>
      </c>
      <c r="Z72" s="267" t="str">
        <f t="shared" si="12"/>
        <v/>
      </c>
      <c r="AA72" s="267" t="str">
        <f t="shared" si="13"/>
        <v/>
      </c>
      <c r="AB72" s="267" t="str">
        <f t="shared" si="14"/>
        <v/>
      </c>
      <c r="AC72" s="267" t="str">
        <f t="shared" si="15"/>
        <v/>
      </c>
      <c r="AD72" s="267" t="str">
        <f t="shared" si="16"/>
        <v/>
      </c>
      <c r="AE72" s="267" t="str">
        <f t="shared" si="22"/>
        <v/>
      </c>
      <c r="AF72" s="267">
        <f t="shared" si="30"/>
        <v>0</v>
      </c>
      <c r="AG72" s="267" t="str">
        <f t="shared" si="19"/>
        <v/>
      </c>
      <c r="AH72" s="267" t="str">
        <f>IFERROR(RANK(AG72,AG$12:AG$211,1)+COUNTIF(AG$12:AG72,AG72)-1,"")</f>
        <v/>
      </c>
      <c r="AM72" s="267">
        <v>61</v>
      </c>
      <c r="AN72" s="267">
        <v>50</v>
      </c>
    </row>
    <row r="73" spans="1:40" x14ac:dyDescent="0.25">
      <c r="A73" s="267">
        <v>62</v>
      </c>
      <c r="B73" s="291" t="str">
        <f t="shared" si="23"/>
        <v/>
      </c>
      <c r="C73" s="292" t="str">
        <f t="shared" si="24"/>
        <v/>
      </c>
      <c r="D73" s="293" t="str">
        <f t="shared" si="25"/>
        <v/>
      </c>
      <c r="E73" s="294" t="str">
        <f t="shared" si="31"/>
        <v/>
      </c>
      <c r="F73" s="295" t="str">
        <f t="shared" si="27"/>
        <v/>
      </c>
      <c r="G73" s="281" t="str">
        <f t="shared" si="28"/>
        <v/>
      </c>
      <c r="H73" s="296" t="str">
        <f t="shared" si="29"/>
        <v/>
      </c>
      <c r="I73" s="297"/>
      <c r="J73" s="298"/>
      <c r="L73" s="267" t="str">
        <f>TB!AG65</f>
        <v>Acorus Calamus</v>
      </c>
      <c r="M73" s="267" t="str">
        <f>TB!AD65</f>
        <v/>
      </c>
      <c r="N73" s="267">
        <f>TB!AT65</f>
        <v>0</v>
      </c>
      <c r="O73" s="267">
        <f>TB!AV65</f>
        <v>38</v>
      </c>
      <c r="P73" s="267">
        <f t="shared" si="21"/>
        <v>0</v>
      </c>
      <c r="Q73" s="267">
        <f t="shared" si="8"/>
        <v>0</v>
      </c>
      <c r="R73" s="267" t="str">
        <f>TB!AU65</f>
        <v>x6</v>
      </c>
      <c r="S73" s="267">
        <f>COUNTIF(N$12:N73,N73)</f>
        <v>62</v>
      </c>
      <c r="T73" s="267">
        <v>1</v>
      </c>
      <c r="U73" s="267">
        <f t="shared" si="9"/>
        <v>200</v>
      </c>
      <c r="V73" s="267" t="str">
        <f t="shared" si="10"/>
        <v>Acorus Calamus0</v>
      </c>
      <c r="W73" s="267" t="str">
        <f t="shared" si="20"/>
        <v/>
      </c>
      <c r="X73" s="267" t="str">
        <f>IF(W73&lt;&gt;"",1+COUNT(X$12:X72),"")</f>
        <v/>
      </c>
      <c r="Y73" s="267" t="str">
        <f t="shared" si="11"/>
        <v/>
      </c>
      <c r="Z73" s="267" t="str">
        <f t="shared" si="12"/>
        <v/>
      </c>
      <c r="AA73" s="267" t="str">
        <f t="shared" si="13"/>
        <v/>
      </c>
      <c r="AB73" s="267" t="str">
        <f t="shared" si="14"/>
        <v/>
      </c>
      <c r="AC73" s="267" t="str">
        <f t="shared" si="15"/>
        <v/>
      </c>
      <c r="AD73" s="267" t="str">
        <f t="shared" si="16"/>
        <v/>
      </c>
      <c r="AE73" s="267" t="str">
        <f t="shared" si="22"/>
        <v/>
      </c>
      <c r="AF73" s="267">
        <f t="shared" si="30"/>
        <v>0</v>
      </c>
      <c r="AG73" s="267" t="str">
        <f t="shared" si="19"/>
        <v/>
      </c>
      <c r="AH73" s="267" t="str">
        <f>IFERROR(RANK(AG73,AG$12:AG$211,1)+COUNTIF(AG$12:AG73,AG73)-1,"")</f>
        <v/>
      </c>
      <c r="AM73" s="267">
        <v>62</v>
      </c>
      <c r="AN73" s="267">
        <v>52</v>
      </c>
    </row>
    <row r="74" spans="1:40" x14ac:dyDescent="0.25">
      <c r="A74" s="267">
        <v>63</v>
      </c>
      <c r="B74" s="299" t="str">
        <f t="shared" si="23"/>
        <v/>
      </c>
      <c r="C74" s="300" t="str">
        <f t="shared" si="24"/>
        <v/>
      </c>
      <c r="D74" s="301" t="str">
        <f t="shared" si="25"/>
        <v/>
      </c>
      <c r="E74" s="302" t="str">
        <f t="shared" si="31"/>
        <v/>
      </c>
      <c r="F74" s="303" t="str">
        <f t="shared" si="27"/>
        <v/>
      </c>
      <c r="G74" s="304" t="str">
        <f t="shared" si="28"/>
        <v/>
      </c>
      <c r="H74" s="305" t="str">
        <f t="shared" si="29"/>
        <v/>
      </c>
      <c r="I74" s="306"/>
      <c r="J74" s="307"/>
      <c r="L74" s="267" t="str">
        <f>TB!AG66</f>
        <v>Acorus Calamus</v>
      </c>
      <c r="M74" s="267" t="str">
        <f>TB!AD66</f>
        <v/>
      </c>
      <c r="N74" s="267">
        <f>TB!AT66</f>
        <v>0</v>
      </c>
      <c r="O74" s="267">
        <f>TB!AV66</f>
        <v>38</v>
      </c>
      <c r="P74" s="267">
        <f t="shared" si="21"/>
        <v>0</v>
      </c>
      <c r="Q74" s="267">
        <f t="shared" si="8"/>
        <v>0</v>
      </c>
      <c r="R74" s="267" t="str">
        <f>TB!AU66</f>
        <v>x6</v>
      </c>
      <c r="S74" s="267">
        <f>COUNTIF(N$12:N74,N74)</f>
        <v>63</v>
      </c>
      <c r="T74" s="267">
        <v>1</v>
      </c>
      <c r="U74" s="267">
        <f t="shared" si="9"/>
        <v>200</v>
      </c>
      <c r="V74" s="267" t="str">
        <f t="shared" si="10"/>
        <v>Acorus Calamus0</v>
      </c>
      <c r="W74" s="267" t="str">
        <f t="shared" si="20"/>
        <v/>
      </c>
      <c r="X74" s="267" t="str">
        <f>IF(W74&lt;&gt;"",1+COUNT(X$12:X73),"")</f>
        <v/>
      </c>
      <c r="Y74" s="267" t="str">
        <f t="shared" si="11"/>
        <v/>
      </c>
      <c r="Z74" s="267" t="str">
        <f t="shared" si="12"/>
        <v/>
      </c>
      <c r="AA74" s="267" t="str">
        <f t="shared" si="13"/>
        <v/>
      </c>
      <c r="AB74" s="267" t="str">
        <f t="shared" si="14"/>
        <v/>
      </c>
      <c r="AC74" s="267" t="str">
        <f t="shared" si="15"/>
        <v/>
      </c>
      <c r="AD74" s="267" t="str">
        <f t="shared" si="16"/>
        <v/>
      </c>
      <c r="AE74" s="267" t="str">
        <f t="shared" si="22"/>
        <v/>
      </c>
      <c r="AF74" s="267">
        <f t="shared" si="30"/>
        <v>0</v>
      </c>
      <c r="AG74" s="267" t="str">
        <f t="shared" si="19"/>
        <v/>
      </c>
      <c r="AH74" s="267" t="str">
        <f>IFERROR(RANK(AG74,AG$12:AG$211,1)+COUNTIF(AG$12:AG74,AG74)-1,"")</f>
        <v/>
      </c>
      <c r="AM74" s="267">
        <v>63</v>
      </c>
      <c r="AN74" s="267">
        <v>54</v>
      </c>
    </row>
    <row r="75" spans="1:40" x14ac:dyDescent="0.25">
      <c r="A75" s="267">
        <v>64</v>
      </c>
      <c r="B75" s="291" t="str">
        <f t="shared" si="23"/>
        <v/>
      </c>
      <c r="C75" s="292" t="str">
        <f t="shared" si="24"/>
        <v/>
      </c>
      <c r="D75" s="293" t="str">
        <f t="shared" si="25"/>
        <v/>
      </c>
      <c r="E75" s="294" t="str">
        <f t="shared" si="31"/>
        <v/>
      </c>
      <c r="F75" s="295" t="str">
        <f t="shared" si="27"/>
        <v/>
      </c>
      <c r="G75" s="281" t="str">
        <f t="shared" si="28"/>
        <v/>
      </c>
      <c r="H75" s="296" t="str">
        <f t="shared" si="29"/>
        <v/>
      </c>
      <c r="I75" s="297"/>
      <c r="J75" s="298"/>
      <c r="L75" s="267" t="str">
        <f>TB!AG67</f>
        <v>Acorus Calamus</v>
      </c>
      <c r="M75" s="267" t="str">
        <f>TB!AD67</f>
        <v/>
      </c>
      <c r="N75" s="267">
        <f>TB!AT67</f>
        <v>0</v>
      </c>
      <c r="O75" s="267">
        <f>TB!AV67</f>
        <v>38</v>
      </c>
      <c r="P75" s="267">
        <f t="shared" si="21"/>
        <v>0</v>
      </c>
      <c r="Q75" s="267">
        <f t="shared" si="8"/>
        <v>0</v>
      </c>
      <c r="R75" s="267" t="str">
        <f>TB!AU67</f>
        <v>x6</v>
      </c>
      <c r="S75" s="267">
        <f>COUNTIF(N$12:N75,N75)</f>
        <v>64</v>
      </c>
      <c r="T75" s="267">
        <v>1</v>
      </c>
      <c r="U75" s="267">
        <f t="shared" si="9"/>
        <v>200</v>
      </c>
      <c r="V75" s="267" t="str">
        <f t="shared" si="10"/>
        <v>Acorus Calamus0</v>
      </c>
      <c r="W75" s="267" t="str">
        <f t="shared" si="20"/>
        <v/>
      </c>
      <c r="X75" s="267" t="str">
        <f>IF(W75&lt;&gt;"",1+COUNT(X$12:X74),"")</f>
        <v/>
      </c>
      <c r="Y75" s="267" t="str">
        <f t="shared" si="11"/>
        <v/>
      </c>
      <c r="Z75" s="267" t="str">
        <f t="shared" si="12"/>
        <v/>
      </c>
      <c r="AA75" s="267" t="str">
        <f t="shared" si="13"/>
        <v/>
      </c>
      <c r="AB75" s="267" t="str">
        <f t="shared" si="14"/>
        <v/>
      </c>
      <c r="AC75" s="267" t="str">
        <f t="shared" si="15"/>
        <v/>
      </c>
      <c r="AD75" s="267" t="str">
        <f t="shared" si="16"/>
        <v/>
      </c>
      <c r="AE75" s="267" t="str">
        <f t="shared" si="22"/>
        <v/>
      </c>
      <c r="AF75" s="267">
        <f t="shared" si="30"/>
        <v>0</v>
      </c>
      <c r="AG75" s="267" t="str">
        <f t="shared" si="19"/>
        <v/>
      </c>
      <c r="AH75" s="267" t="str">
        <f>IFERROR(RANK(AG75,AG$12:AG$211,1)+COUNTIF(AG$12:AG75,AG75)-1,"")</f>
        <v/>
      </c>
      <c r="AM75" s="267">
        <v>64</v>
      </c>
      <c r="AN75" s="267">
        <v>56</v>
      </c>
    </row>
    <row r="76" spans="1:40" x14ac:dyDescent="0.25">
      <c r="A76" s="267">
        <v>65</v>
      </c>
      <c r="B76" s="299" t="str">
        <f t="shared" ref="B76:B107" si="32">_xlfn.SINGLE(_xlfn.XLOOKUP(A76,AH$12:AH$211,Z$12:Z$211,""))</f>
        <v/>
      </c>
      <c r="C76" s="300" t="str">
        <f t="shared" ref="C76:C107" si="33">_xlfn.SINGLE(_xlfn.XLOOKUP(A76,AH$12:AH$211,AE$12:AE$211,""))</f>
        <v/>
      </c>
      <c r="D76" s="301" t="str">
        <f t="shared" si="25"/>
        <v/>
      </c>
      <c r="E76" s="302" t="str">
        <f t="shared" si="31"/>
        <v/>
      </c>
      <c r="F76" s="303" t="str">
        <f t="shared" si="27"/>
        <v/>
      </c>
      <c r="G76" s="304" t="str">
        <f t="shared" si="28"/>
        <v/>
      </c>
      <c r="H76" s="305" t="str">
        <f t="shared" si="29"/>
        <v/>
      </c>
      <c r="I76" s="306"/>
      <c r="J76" s="307"/>
      <c r="L76" s="267" t="str">
        <f>TB!AG68</f>
        <v>Acorus Calamus</v>
      </c>
      <c r="M76" s="267" t="str">
        <f>TB!AD68</f>
        <v/>
      </c>
      <c r="N76" s="267">
        <f>TB!AT68</f>
        <v>0</v>
      </c>
      <c r="O76" s="267">
        <f>TB!AV68</f>
        <v>38</v>
      </c>
      <c r="P76" s="267">
        <f t="shared" si="21"/>
        <v>0</v>
      </c>
      <c r="Q76" s="267">
        <f t="shared" si="8"/>
        <v>0</v>
      </c>
      <c r="R76" s="267" t="str">
        <f>TB!AU68</f>
        <v>x6</v>
      </c>
      <c r="S76" s="267">
        <f>COUNTIF(N$12:N76,N76)</f>
        <v>65</v>
      </c>
      <c r="T76" s="267">
        <v>1</v>
      </c>
      <c r="U76" s="267">
        <f t="shared" si="9"/>
        <v>200</v>
      </c>
      <c r="V76" s="267" t="str">
        <f t="shared" ref="V76:V90" si="34">IF(L76&lt;&gt;"",L76&amp;M76&amp;N76,"")</f>
        <v>Acorus Calamus0</v>
      </c>
      <c r="W76" s="267" t="str">
        <f t="shared" si="20"/>
        <v/>
      </c>
      <c r="X76" s="267" t="str">
        <f>IF(W76&lt;&gt;"",1+COUNT(X$12:X75),"")</f>
        <v/>
      </c>
      <c r="Y76" s="267" t="str">
        <f t="shared" si="11"/>
        <v/>
      </c>
      <c r="Z76" s="267" t="str">
        <f t="shared" si="12"/>
        <v/>
      </c>
      <c r="AA76" s="267" t="str">
        <f t="shared" si="13"/>
        <v/>
      </c>
      <c r="AB76" s="267" t="str">
        <f t="shared" si="14"/>
        <v/>
      </c>
      <c r="AC76" s="267" t="str">
        <f t="shared" si="15"/>
        <v/>
      </c>
      <c r="AD76" s="267" t="str">
        <f t="shared" si="16"/>
        <v/>
      </c>
      <c r="AE76" s="267" t="str">
        <f t="shared" si="22"/>
        <v/>
      </c>
      <c r="AF76" s="267">
        <f t="shared" si="30"/>
        <v>0</v>
      </c>
      <c r="AG76" s="267" t="str">
        <f t="shared" si="19"/>
        <v/>
      </c>
      <c r="AH76" s="267" t="str">
        <f>IFERROR(RANK(AG76,AG$12:AG$211,1)+COUNTIF(AG$12:AG76,AG76)-1,"")</f>
        <v/>
      </c>
      <c r="AM76" s="267">
        <v>65</v>
      </c>
      <c r="AN76" s="267">
        <v>58</v>
      </c>
    </row>
    <row r="77" spans="1:40" x14ac:dyDescent="0.25">
      <c r="A77" s="267">
        <v>66</v>
      </c>
      <c r="B77" s="291" t="str">
        <f t="shared" si="32"/>
        <v/>
      </c>
      <c r="C77" s="292" t="str">
        <f t="shared" si="33"/>
        <v/>
      </c>
      <c r="D77" s="293" t="str">
        <f t="shared" ref="D77:D108" si="35">_xlfn.SINGLE(_xlfn.XLOOKUP(A77,AH$12:AH$211,Y$12:Y$211,""))</f>
        <v/>
      </c>
      <c r="E77" s="294" t="str">
        <f t="shared" si="31"/>
        <v/>
      </c>
      <c r="F77" s="295" t="str">
        <f t="shared" ref="F77:F108" si="36">_xlfn.SINGLE(_xlfn.XLOOKUP(A77,AH$12:AH$211,AB$12:AB$211,""))</f>
        <v/>
      </c>
      <c r="G77" s="281" t="str">
        <f t="shared" ref="G77:G108" si="37">_xlfn.SINGLE(_xlfn.XLOOKUP(A77,AH$12:AH$211,AC$12:AC$211,""))</f>
        <v/>
      </c>
      <c r="H77" s="296" t="str">
        <f t="shared" ref="H77:H108" si="38">_xlfn.SINGLE(_xlfn.XLOOKUP(A77,AH$12:AH$211,AD$12:AD$211,""))</f>
        <v/>
      </c>
      <c r="I77" s="297"/>
      <c r="J77" s="298"/>
      <c r="L77" s="267" t="str">
        <f>TB!AG69</f>
        <v>Acorus Calamus</v>
      </c>
      <c r="M77" s="267" t="str">
        <f>TB!AD69</f>
        <v/>
      </c>
      <c r="N77" s="267">
        <f>TB!AT69</f>
        <v>0</v>
      </c>
      <c r="O77" s="267">
        <f>TB!AV69</f>
        <v>38</v>
      </c>
      <c r="P77" s="267">
        <f t="shared" ref="P77:P140" si="39">ROUNDDOWN(N77/10,0)</f>
        <v>0</v>
      </c>
      <c r="Q77" s="267">
        <f t="shared" ref="Q77:Q140" si="40">N77-P77*10</f>
        <v>0</v>
      </c>
      <c r="R77" s="267" t="str">
        <f>TB!AU69</f>
        <v>x6</v>
      </c>
      <c r="S77" s="267">
        <f>COUNTIF(N$12:N77,N77)</f>
        <v>66</v>
      </c>
      <c r="T77" s="267">
        <v>1</v>
      </c>
      <c r="U77" s="267">
        <f t="shared" ref="U77:U140" si="41">SUMIFS(T$12:T$211,L$12:L$211,L77,M$12:M$211,M77,N$12:N$211,N77)</f>
        <v>200</v>
      </c>
      <c r="V77" s="267" t="str">
        <f t="shared" si="34"/>
        <v>Acorus Calamus0</v>
      </c>
      <c r="W77" s="267" t="str">
        <f t="shared" si="20"/>
        <v/>
      </c>
      <c r="X77" s="267" t="str">
        <f>IF(W77&lt;&gt;"",1+COUNT(X$12:X76),"")</f>
        <v/>
      </c>
      <c r="Y77" s="267" t="str">
        <f t="shared" ref="Y77:Y140" si="42">IF(X77&lt;&gt;"",L77,"")</f>
        <v/>
      </c>
      <c r="Z77" s="267" t="str">
        <f t="shared" ref="Z77:Z140" si="43">IF(X77&lt;&gt;"",M77,"")</f>
        <v/>
      </c>
      <c r="AA77" s="267" t="str">
        <f t="shared" ref="AA77:AA140" si="44">IF(X77&lt;&gt;"",U77,"")</f>
        <v/>
      </c>
      <c r="AB77" s="267" t="str">
        <f t="shared" ref="AB77:AB140" si="45">IF(X77&lt;&gt;"",R77,"")</f>
        <v/>
      </c>
      <c r="AC77" s="267" t="str">
        <f t="shared" ref="AC77:AC140" si="46">IF(X77&lt;&gt;"",P77,"")</f>
        <v/>
      </c>
      <c r="AD77" s="267" t="str">
        <f t="shared" ref="AD77:AD140" si="47">IF(X77&lt;&gt;"",Q77,"")</f>
        <v/>
      </c>
      <c r="AE77" s="267" t="str">
        <f t="shared" ref="AE77:AE140" si="48">IF(X77&lt;&gt;"",O77,"")</f>
        <v/>
      </c>
      <c r="AF77" s="267">
        <f t="shared" ref="AF77:AF108" si="49">_xlfn.SINGLE(_xlfn.XLOOKUP(AE77,AM$12:AM$122,AN$12:AN$122,0))</f>
        <v>0</v>
      </c>
      <c r="AG77" s="267" t="str">
        <f t="shared" ref="AG77:AG140" si="50">IFERROR(AC77*1000+AE77+IF(AE77=100,10000,0),"")</f>
        <v/>
      </c>
      <c r="AH77" s="267" t="str">
        <f>IFERROR(RANK(AG77,AG$12:AG$211,1)+COUNTIF(AG$12:AG77,AG77)-1,"")</f>
        <v/>
      </c>
      <c r="AM77" s="267">
        <v>66</v>
      </c>
      <c r="AN77" s="267">
        <v>60</v>
      </c>
    </row>
    <row r="78" spans="1:40" x14ac:dyDescent="0.25">
      <c r="A78" s="267">
        <v>67</v>
      </c>
      <c r="B78" s="299" t="str">
        <f t="shared" si="32"/>
        <v/>
      </c>
      <c r="C78" s="300" t="str">
        <f t="shared" si="33"/>
        <v/>
      </c>
      <c r="D78" s="301" t="str">
        <f t="shared" si="35"/>
        <v/>
      </c>
      <c r="E78" s="302" t="str">
        <f t="shared" si="31"/>
        <v/>
      </c>
      <c r="F78" s="303" t="str">
        <f t="shared" si="36"/>
        <v/>
      </c>
      <c r="G78" s="304" t="str">
        <f t="shared" si="37"/>
        <v/>
      </c>
      <c r="H78" s="305" t="str">
        <f t="shared" si="38"/>
        <v/>
      </c>
      <c r="I78" s="306"/>
      <c r="J78" s="307"/>
      <c r="L78" s="267" t="str">
        <f>TB!AG70</f>
        <v>Acorus Calamus</v>
      </c>
      <c r="M78" s="267" t="str">
        <f>TB!AD70</f>
        <v/>
      </c>
      <c r="N78" s="267">
        <f>TB!AT70</f>
        <v>0</v>
      </c>
      <c r="O78" s="267">
        <f>TB!AV70</f>
        <v>38</v>
      </c>
      <c r="P78" s="267">
        <f t="shared" si="39"/>
        <v>0</v>
      </c>
      <c r="Q78" s="267">
        <f t="shared" si="40"/>
        <v>0</v>
      </c>
      <c r="R78" s="267" t="str">
        <f>TB!AU70</f>
        <v>x6</v>
      </c>
      <c r="S78" s="267">
        <f>COUNTIF(N$12:N78,N78)</f>
        <v>67</v>
      </c>
      <c r="T78" s="267">
        <v>1</v>
      </c>
      <c r="U78" s="267">
        <f t="shared" si="41"/>
        <v>200</v>
      </c>
      <c r="V78" s="267" t="str">
        <f t="shared" si="34"/>
        <v>Acorus Calamus0</v>
      </c>
      <c r="W78" s="267" t="str">
        <f t="shared" ref="W78:W141" si="51">IF(V78=V77,"",V78)</f>
        <v/>
      </c>
      <c r="X78" s="267" t="str">
        <f>IF(W78&lt;&gt;"",1+COUNT(X$12:X77),"")</f>
        <v/>
      </c>
      <c r="Y78" s="267" t="str">
        <f t="shared" si="42"/>
        <v/>
      </c>
      <c r="Z78" s="267" t="str">
        <f t="shared" si="43"/>
        <v/>
      </c>
      <c r="AA78" s="267" t="str">
        <f t="shared" si="44"/>
        <v/>
      </c>
      <c r="AB78" s="267" t="str">
        <f t="shared" si="45"/>
        <v/>
      </c>
      <c r="AC78" s="267" t="str">
        <f t="shared" si="46"/>
        <v/>
      </c>
      <c r="AD78" s="267" t="str">
        <f t="shared" si="47"/>
        <v/>
      </c>
      <c r="AE78" s="267" t="str">
        <f t="shared" si="48"/>
        <v/>
      </c>
      <c r="AF78" s="267">
        <f t="shared" si="49"/>
        <v>0</v>
      </c>
      <c r="AG78" s="267" t="str">
        <f t="shared" si="50"/>
        <v/>
      </c>
      <c r="AH78" s="267" t="str">
        <f>IFERROR(RANK(AG78,AG$12:AG$211,1)+COUNTIF(AG$12:AG78,AG78)-1,"")</f>
        <v/>
      </c>
      <c r="AM78" s="267">
        <v>67</v>
      </c>
      <c r="AN78" s="267">
        <v>62</v>
      </c>
    </row>
    <row r="79" spans="1:40" x14ac:dyDescent="0.25">
      <c r="A79" s="267">
        <v>68</v>
      </c>
      <c r="B79" s="291" t="str">
        <f t="shared" si="32"/>
        <v/>
      </c>
      <c r="C79" s="292" t="str">
        <f t="shared" si="33"/>
        <v/>
      </c>
      <c r="D79" s="293" t="str">
        <f t="shared" si="35"/>
        <v/>
      </c>
      <c r="E79" s="294" t="str">
        <f t="shared" si="31"/>
        <v/>
      </c>
      <c r="F79" s="295" t="str">
        <f t="shared" si="36"/>
        <v/>
      </c>
      <c r="G79" s="281" t="str">
        <f t="shared" si="37"/>
        <v/>
      </c>
      <c r="H79" s="296" t="str">
        <f t="shared" si="38"/>
        <v/>
      </c>
      <c r="I79" s="297"/>
      <c r="J79" s="298"/>
      <c r="L79" s="267" t="str">
        <f>TB!AG71</f>
        <v>Acorus Calamus</v>
      </c>
      <c r="M79" s="267" t="str">
        <f>TB!AD71</f>
        <v/>
      </c>
      <c r="N79" s="267">
        <f>TB!AT71</f>
        <v>0</v>
      </c>
      <c r="O79" s="267">
        <f>TB!AV71</f>
        <v>38</v>
      </c>
      <c r="P79" s="267">
        <f t="shared" si="39"/>
        <v>0</v>
      </c>
      <c r="Q79" s="267">
        <f t="shared" si="40"/>
        <v>0</v>
      </c>
      <c r="R79" s="267" t="str">
        <f>TB!AU71</f>
        <v>x6</v>
      </c>
      <c r="S79" s="267">
        <f>COUNTIF(N$12:N79,N79)</f>
        <v>68</v>
      </c>
      <c r="T79" s="267">
        <v>1</v>
      </c>
      <c r="U79" s="267">
        <f t="shared" si="41"/>
        <v>200</v>
      </c>
      <c r="V79" s="267" t="str">
        <f t="shared" si="34"/>
        <v>Acorus Calamus0</v>
      </c>
      <c r="W79" s="267" t="str">
        <f t="shared" si="51"/>
        <v/>
      </c>
      <c r="X79" s="267" t="str">
        <f>IF(W79&lt;&gt;"",1+COUNT(X$12:X78),"")</f>
        <v/>
      </c>
      <c r="Y79" s="267" t="str">
        <f t="shared" si="42"/>
        <v/>
      </c>
      <c r="Z79" s="267" t="str">
        <f t="shared" si="43"/>
        <v/>
      </c>
      <c r="AA79" s="267" t="str">
        <f t="shared" si="44"/>
        <v/>
      </c>
      <c r="AB79" s="267" t="str">
        <f t="shared" si="45"/>
        <v/>
      </c>
      <c r="AC79" s="267" t="str">
        <f t="shared" si="46"/>
        <v/>
      </c>
      <c r="AD79" s="267" t="str">
        <f t="shared" si="47"/>
        <v/>
      </c>
      <c r="AE79" s="267" t="str">
        <f t="shared" si="48"/>
        <v/>
      </c>
      <c r="AF79" s="267">
        <f t="shared" si="49"/>
        <v>0</v>
      </c>
      <c r="AG79" s="267" t="str">
        <f t="shared" si="50"/>
        <v/>
      </c>
      <c r="AH79" s="267" t="str">
        <f>IFERROR(RANK(AG79,AG$12:AG$211,1)+COUNTIF(AG$12:AG79,AG79)-1,"")</f>
        <v/>
      </c>
      <c r="AM79" s="267">
        <v>68</v>
      </c>
      <c r="AN79" s="267">
        <v>64</v>
      </c>
    </row>
    <row r="80" spans="1:40" x14ac:dyDescent="0.25">
      <c r="A80" s="267">
        <v>69</v>
      </c>
      <c r="B80" s="299" t="str">
        <f t="shared" si="32"/>
        <v/>
      </c>
      <c r="C80" s="300" t="str">
        <f t="shared" si="33"/>
        <v/>
      </c>
      <c r="D80" s="301" t="str">
        <f t="shared" si="35"/>
        <v/>
      </c>
      <c r="E80" s="302" t="str">
        <f t="shared" si="31"/>
        <v/>
      </c>
      <c r="F80" s="303" t="str">
        <f t="shared" si="36"/>
        <v/>
      </c>
      <c r="G80" s="304" t="str">
        <f t="shared" si="37"/>
        <v/>
      </c>
      <c r="H80" s="305" t="str">
        <f t="shared" si="38"/>
        <v/>
      </c>
      <c r="I80" s="306"/>
      <c r="J80" s="307"/>
      <c r="L80" s="267" t="str">
        <f>TB!AG72</f>
        <v>Acorus Calamus</v>
      </c>
      <c r="M80" s="267" t="str">
        <f>TB!AD72</f>
        <v/>
      </c>
      <c r="N80" s="267">
        <f>TB!AT72</f>
        <v>0</v>
      </c>
      <c r="O80" s="267">
        <f>TB!AV72</f>
        <v>38</v>
      </c>
      <c r="P80" s="267">
        <f t="shared" si="39"/>
        <v>0</v>
      </c>
      <c r="Q80" s="267">
        <f t="shared" si="40"/>
        <v>0</v>
      </c>
      <c r="R80" s="267" t="str">
        <f>TB!AU72</f>
        <v>x6</v>
      </c>
      <c r="S80" s="267">
        <f>COUNTIF(N$12:N80,N80)</f>
        <v>69</v>
      </c>
      <c r="T80" s="267">
        <v>1</v>
      </c>
      <c r="U80" s="267">
        <f t="shared" si="41"/>
        <v>200</v>
      </c>
      <c r="V80" s="267" t="str">
        <f t="shared" si="34"/>
        <v>Acorus Calamus0</v>
      </c>
      <c r="W80" s="267" t="str">
        <f t="shared" si="51"/>
        <v/>
      </c>
      <c r="X80" s="267" t="str">
        <f>IF(W80&lt;&gt;"",1+COUNT(X$12:X79),"")</f>
        <v/>
      </c>
      <c r="Y80" s="267" t="str">
        <f t="shared" si="42"/>
        <v/>
      </c>
      <c r="Z80" s="267" t="str">
        <f t="shared" si="43"/>
        <v/>
      </c>
      <c r="AA80" s="267" t="str">
        <f t="shared" si="44"/>
        <v/>
      </c>
      <c r="AB80" s="267" t="str">
        <f t="shared" si="45"/>
        <v/>
      </c>
      <c r="AC80" s="267" t="str">
        <f t="shared" si="46"/>
        <v/>
      </c>
      <c r="AD80" s="267" t="str">
        <f t="shared" si="47"/>
        <v/>
      </c>
      <c r="AE80" s="267" t="str">
        <f t="shared" si="48"/>
        <v/>
      </c>
      <c r="AF80" s="267">
        <f t="shared" si="49"/>
        <v>0</v>
      </c>
      <c r="AG80" s="267" t="str">
        <f t="shared" si="50"/>
        <v/>
      </c>
      <c r="AH80" s="267" t="str">
        <f>IFERROR(RANK(AG80,AG$12:AG$211,1)+COUNTIF(AG$12:AG80,AG80)-1,"")</f>
        <v/>
      </c>
      <c r="AM80" s="267">
        <v>69</v>
      </c>
      <c r="AN80" s="267">
        <v>66</v>
      </c>
    </row>
    <row r="81" spans="1:40" x14ac:dyDescent="0.25">
      <c r="A81" s="267">
        <v>70</v>
      </c>
      <c r="B81" s="291" t="str">
        <f t="shared" si="32"/>
        <v/>
      </c>
      <c r="C81" s="292" t="str">
        <f t="shared" si="33"/>
        <v/>
      </c>
      <c r="D81" s="293" t="str">
        <f t="shared" si="35"/>
        <v/>
      </c>
      <c r="E81" s="294" t="str">
        <f t="shared" si="31"/>
        <v/>
      </c>
      <c r="F81" s="295" t="str">
        <f t="shared" si="36"/>
        <v/>
      </c>
      <c r="G81" s="281" t="str">
        <f t="shared" si="37"/>
        <v/>
      </c>
      <c r="H81" s="296" t="str">
        <f t="shared" si="38"/>
        <v/>
      </c>
      <c r="I81" s="297"/>
      <c r="J81" s="298"/>
      <c r="L81" s="267" t="str">
        <f>TB!AG73</f>
        <v>Acorus Calamus</v>
      </c>
      <c r="M81" s="267" t="str">
        <f>TB!AD73</f>
        <v/>
      </c>
      <c r="N81" s="267">
        <f>TB!AT73</f>
        <v>0</v>
      </c>
      <c r="O81" s="267">
        <f>TB!AV73</f>
        <v>38</v>
      </c>
      <c r="P81" s="267">
        <f t="shared" si="39"/>
        <v>0</v>
      </c>
      <c r="Q81" s="267">
        <f t="shared" si="40"/>
        <v>0</v>
      </c>
      <c r="R81" s="267" t="str">
        <f>TB!AU73</f>
        <v>x6</v>
      </c>
      <c r="S81" s="267">
        <f>COUNTIF(N$12:N81,N81)</f>
        <v>70</v>
      </c>
      <c r="T81" s="267">
        <v>1</v>
      </c>
      <c r="U81" s="267">
        <f t="shared" si="41"/>
        <v>200</v>
      </c>
      <c r="V81" s="267" t="str">
        <f t="shared" si="34"/>
        <v>Acorus Calamus0</v>
      </c>
      <c r="W81" s="267" t="str">
        <f t="shared" si="51"/>
        <v/>
      </c>
      <c r="X81" s="267" t="str">
        <f>IF(W81&lt;&gt;"",1+COUNT(X$12:X80),"")</f>
        <v/>
      </c>
      <c r="Y81" s="267" t="str">
        <f t="shared" si="42"/>
        <v/>
      </c>
      <c r="Z81" s="267" t="str">
        <f t="shared" si="43"/>
        <v/>
      </c>
      <c r="AA81" s="267" t="str">
        <f t="shared" si="44"/>
        <v/>
      </c>
      <c r="AB81" s="267" t="str">
        <f t="shared" si="45"/>
        <v/>
      </c>
      <c r="AC81" s="267" t="str">
        <f t="shared" si="46"/>
        <v/>
      </c>
      <c r="AD81" s="267" t="str">
        <f t="shared" si="47"/>
        <v/>
      </c>
      <c r="AE81" s="267" t="str">
        <f t="shared" si="48"/>
        <v/>
      </c>
      <c r="AF81" s="267">
        <f t="shared" si="49"/>
        <v>0</v>
      </c>
      <c r="AG81" s="267" t="str">
        <f t="shared" si="50"/>
        <v/>
      </c>
      <c r="AH81" s="267" t="str">
        <f>IFERROR(RANK(AG81,AG$12:AG$211,1)+COUNTIF(AG$12:AG81,AG81)-1,"")</f>
        <v/>
      </c>
      <c r="AM81" s="267">
        <v>70</v>
      </c>
      <c r="AN81" s="267">
        <v>68</v>
      </c>
    </row>
    <row r="82" spans="1:40" x14ac:dyDescent="0.25">
      <c r="A82" s="267">
        <v>71</v>
      </c>
      <c r="B82" s="299" t="str">
        <f t="shared" si="32"/>
        <v/>
      </c>
      <c r="C82" s="300" t="str">
        <f t="shared" si="33"/>
        <v/>
      </c>
      <c r="D82" s="301" t="str">
        <f t="shared" si="35"/>
        <v/>
      </c>
      <c r="E82" s="302" t="str">
        <f t="shared" si="31"/>
        <v/>
      </c>
      <c r="F82" s="303" t="str">
        <f t="shared" si="36"/>
        <v/>
      </c>
      <c r="G82" s="304" t="str">
        <f t="shared" si="37"/>
        <v/>
      </c>
      <c r="H82" s="305" t="str">
        <f t="shared" si="38"/>
        <v/>
      </c>
      <c r="I82" s="306"/>
      <c r="J82" s="307"/>
      <c r="L82" s="267" t="str">
        <f>TB!AG74</f>
        <v>Acorus Calamus</v>
      </c>
      <c r="M82" s="267" t="str">
        <f>TB!AD74</f>
        <v/>
      </c>
      <c r="N82" s="267">
        <f>TB!AT74</f>
        <v>0</v>
      </c>
      <c r="O82" s="267">
        <f>TB!AV74</f>
        <v>38</v>
      </c>
      <c r="P82" s="267">
        <f t="shared" si="39"/>
        <v>0</v>
      </c>
      <c r="Q82" s="267">
        <f t="shared" si="40"/>
        <v>0</v>
      </c>
      <c r="R82" s="267" t="str">
        <f>TB!AU74</f>
        <v>x6</v>
      </c>
      <c r="S82" s="267">
        <f>COUNTIF(N$12:N82,N82)</f>
        <v>71</v>
      </c>
      <c r="T82" s="267">
        <v>1</v>
      </c>
      <c r="U82" s="267">
        <f t="shared" si="41"/>
        <v>200</v>
      </c>
      <c r="V82" s="267" t="str">
        <f t="shared" si="34"/>
        <v>Acorus Calamus0</v>
      </c>
      <c r="W82" s="267" t="str">
        <f t="shared" si="51"/>
        <v/>
      </c>
      <c r="X82" s="267" t="str">
        <f>IF(W82&lt;&gt;"",1+COUNT(X$12:X81),"")</f>
        <v/>
      </c>
      <c r="Y82" s="267" t="str">
        <f t="shared" si="42"/>
        <v/>
      </c>
      <c r="Z82" s="267" t="str">
        <f t="shared" si="43"/>
        <v/>
      </c>
      <c r="AA82" s="267" t="str">
        <f t="shared" si="44"/>
        <v/>
      </c>
      <c r="AB82" s="267" t="str">
        <f t="shared" si="45"/>
        <v/>
      </c>
      <c r="AC82" s="267" t="str">
        <f t="shared" si="46"/>
        <v/>
      </c>
      <c r="AD82" s="267" t="str">
        <f t="shared" si="47"/>
        <v/>
      </c>
      <c r="AE82" s="267" t="str">
        <f t="shared" si="48"/>
        <v/>
      </c>
      <c r="AF82" s="267">
        <f t="shared" si="49"/>
        <v>0</v>
      </c>
      <c r="AG82" s="267" t="str">
        <f t="shared" si="50"/>
        <v/>
      </c>
      <c r="AH82" s="267" t="str">
        <f>IFERROR(RANK(AG82,AG$12:AG$211,1)+COUNTIF(AG$12:AG82,AG82)-1,"")</f>
        <v/>
      </c>
      <c r="AM82" s="267">
        <v>71</v>
      </c>
      <c r="AN82" s="267">
        <v>70</v>
      </c>
    </row>
    <row r="83" spans="1:40" x14ac:dyDescent="0.25">
      <c r="A83" s="267">
        <v>72</v>
      </c>
      <c r="B83" s="291" t="str">
        <f t="shared" si="32"/>
        <v/>
      </c>
      <c r="C83" s="292" t="str">
        <f t="shared" si="33"/>
        <v/>
      </c>
      <c r="D83" s="293" t="str">
        <f t="shared" si="35"/>
        <v/>
      </c>
      <c r="E83" s="294" t="str">
        <f t="shared" si="31"/>
        <v/>
      </c>
      <c r="F83" s="295" t="str">
        <f t="shared" si="36"/>
        <v/>
      </c>
      <c r="G83" s="281" t="str">
        <f t="shared" si="37"/>
        <v/>
      </c>
      <c r="H83" s="296" t="str">
        <f t="shared" si="38"/>
        <v/>
      </c>
      <c r="I83" s="297"/>
      <c r="J83" s="298"/>
      <c r="L83" s="267" t="str">
        <f>TB!AG75</f>
        <v>Acorus Calamus</v>
      </c>
      <c r="M83" s="267" t="str">
        <f>TB!AD75</f>
        <v/>
      </c>
      <c r="N83" s="267">
        <f>TB!AT75</f>
        <v>0</v>
      </c>
      <c r="O83" s="267">
        <f>TB!AV75</f>
        <v>38</v>
      </c>
      <c r="P83" s="267">
        <f t="shared" si="39"/>
        <v>0</v>
      </c>
      <c r="Q83" s="267">
        <f t="shared" si="40"/>
        <v>0</v>
      </c>
      <c r="R83" s="267" t="str">
        <f>TB!AU75</f>
        <v>x6</v>
      </c>
      <c r="S83" s="267">
        <f>COUNTIF(N$12:N83,N83)</f>
        <v>72</v>
      </c>
      <c r="T83" s="267">
        <v>1</v>
      </c>
      <c r="U83" s="267">
        <f t="shared" si="41"/>
        <v>200</v>
      </c>
      <c r="V83" s="267" t="str">
        <f t="shared" si="34"/>
        <v>Acorus Calamus0</v>
      </c>
      <c r="W83" s="267" t="str">
        <f t="shared" si="51"/>
        <v/>
      </c>
      <c r="X83" s="267" t="str">
        <f>IF(W83&lt;&gt;"",1+COUNT(X$12:X82),"")</f>
        <v/>
      </c>
      <c r="Y83" s="267" t="str">
        <f t="shared" si="42"/>
        <v/>
      </c>
      <c r="Z83" s="267" t="str">
        <f t="shared" si="43"/>
        <v/>
      </c>
      <c r="AA83" s="267" t="str">
        <f t="shared" si="44"/>
        <v/>
      </c>
      <c r="AB83" s="267" t="str">
        <f t="shared" si="45"/>
        <v/>
      </c>
      <c r="AC83" s="267" t="str">
        <f t="shared" si="46"/>
        <v/>
      </c>
      <c r="AD83" s="267" t="str">
        <f t="shared" si="47"/>
        <v/>
      </c>
      <c r="AE83" s="267" t="str">
        <f t="shared" si="48"/>
        <v/>
      </c>
      <c r="AF83" s="267">
        <f t="shared" si="49"/>
        <v>0</v>
      </c>
      <c r="AG83" s="267" t="str">
        <f t="shared" si="50"/>
        <v/>
      </c>
      <c r="AH83" s="267" t="str">
        <f>IFERROR(RANK(AG83,AG$12:AG$211,1)+COUNTIF(AG$12:AG83,AG83)-1,"")</f>
        <v/>
      </c>
      <c r="AM83" s="267">
        <v>72</v>
      </c>
      <c r="AN83" s="267">
        <v>72</v>
      </c>
    </row>
    <row r="84" spans="1:40" x14ac:dyDescent="0.25">
      <c r="A84" s="267">
        <v>73</v>
      </c>
      <c r="B84" s="299" t="str">
        <f t="shared" si="32"/>
        <v/>
      </c>
      <c r="C84" s="300" t="str">
        <f t="shared" si="33"/>
        <v/>
      </c>
      <c r="D84" s="301" t="str">
        <f t="shared" si="35"/>
        <v/>
      </c>
      <c r="E84" s="302" t="str">
        <f t="shared" si="31"/>
        <v/>
      </c>
      <c r="F84" s="303" t="str">
        <f t="shared" si="36"/>
        <v/>
      </c>
      <c r="G84" s="304" t="str">
        <f t="shared" si="37"/>
        <v/>
      </c>
      <c r="H84" s="305" t="str">
        <f t="shared" si="38"/>
        <v/>
      </c>
      <c r="I84" s="306"/>
      <c r="J84" s="307"/>
      <c r="L84" s="267" t="str">
        <f>TB!AG76</f>
        <v>Acorus Calamus</v>
      </c>
      <c r="M84" s="267" t="str">
        <f>TB!AD76</f>
        <v/>
      </c>
      <c r="N84" s="267">
        <f>TB!AT76</f>
        <v>0</v>
      </c>
      <c r="O84" s="267">
        <f>TB!AV76</f>
        <v>38</v>
      </c>
      <c r="P84" s="267">
        <f t="shared" si="39"/>
        <v>0</v>
      </c>
      <c r="Q84" s="267">
        <f t="shared" si="40"/>
        <v>0</v>
      </c>
      <c r="R84" s="267" t="str">
        <f>TB!AU76</f>
        <v>x6</v>
      </c>
      <c r="S84" s="267">
        <f>COUNTIF(N$12:N84,N84)</f>
        <v>73</v>
      </c>
      <c r="T84" s="267">
        <v>1</v>
      </c>
      <c r="U84" s="267">
        <f t="shared" si="41"/>
        <v>200</v>
      </c>
      <c r="V84" s="267" t="str">
        <f t="shared" si="34"/>
        <v>Acorus Calamus0</v>
      </c>
      <c r="W84" s="267" t="str">
        <f t="shared" si="51"/>
        <v/>
      </c>
      <c r="X84" s="267" t="str">
        <f>IF(W84&lt;&gt;"",1+COUNT(X$12:X83),"")</f>
        <v/>
      </c>
      <c r="Y84" s="267" t="str">
        <f t="shared" si="42"/>
        <v/>
      </c>
      <c r="Z84" s="267" t="str">
        <f t="shared" si="43"/>
        <v/>
      </c>
      <c r="AA84" s="267" t="str">
        <f t="shared" si="44"/>
        <v/>
      </c>
      <c r="AB84" s="267" t="str">
        <f t="shared" si="45"/>
        <v/>
      </c>
      <c r="AC84" s="267" t="str">
        <f t="shared" si="46"/>
        <v/>
      </c>
      <c r="AD84" s="267" t="str">
        <f t="shared" si="47"/>
        <v/>
      </c>
      <c r="AE84" s="267" t="str">
        <f t="shared" si="48"/>
        <v/>
      </c>
      <c r="AF84" s="267">
        <f t="shared" si="49"/>
        <v>0</v>
      </c>
      <c r="AG84" s="267" t="str">
        <f t="shared" si="50"/>
        <v/>
      </c>
      <c r="AH84" s="267" t="str">
        <f>IFERROR(RANK(AG84,AG$12:AG$211,1)+COUNTIF(AG$12:AG84,AG84)-1,"")</f>
        <v/>
      </c>
      <c r="AM84" s="267">
        <v>73</v>
      </c>
      <c r="AN84" s="267">
        <v>73</v>
      </c>
    </row>
    <row r="85" spans="1:40" x14ac:dyDescent="0.25">
      <c r="A85" s="267">
        <v>74</v>
      </c>
      <c r="B85" s="291" t="str">
        <f t="shared" si="32"/>
        <v/>
      </c>
      <c r="C85" s="292" t="str">
        <f t="shared" si="33"/>
        <v/>
      </c>
      <c r="D85" s="293" t="str">
        <f t="shared" si="35"/>
        <v/>
      </c>
      <c r="E85" s="294" t="str">
        <f t="shared" si="31"/>
        <v/>
      </c>
      <c r="F85" s="295" t="str">
        <f t="shared" si="36"/>
        <v/>
      </c>
      <c r="G85" s="281" t="str">
        <f t="shared" si="37"/>
        <v/>
      </c>
      <c r="H85" s="296" t="str">
        <f t="shared" si="38"/>
        <v/>
      </c>
      <c r="I85" s="297"/>
      <c r="J85" s="298"/>
      <c r="L85" s="267" t="str">
        <f>TB!AG77</f>
        <v>Acorus Calamus</v>
      </c>
      <c r="M85" s="267" t="str">
        <f>TB!AD77</f>
        <v/>
      </c>
      <c r="N85" s="267">
        <f>TB!AT77</f>
        <v>0</v>
      </c>
      <c r="O85" s="267">
        <f>TB!AV77</f>
        <v>38</v>
      </c>
      <c r="P85" s="267">
        <f t="shared" si="39"/>
        <v>0</v>
      </c>
      <c r="Q85" s="267">
        <f t="shared" si="40"/>
        <v>0</v>
      </c>
      <c r="R85" s="267" t="str">
        <f>TB!AU77</f>
        <v>x6</v>
      </c>
      <c r="S85" s="267">
        <f>COUNTIF(N$12:N85,N85)</f>
        <v>74</v>
      </c>
      <c r="T85" s="267">
        <v>1</v>
      </c>
      <c r="U85" s="267">
        <f t="shared" si="41"/>
        <v>200</v>
      </c>
      <c r="V85" s="267" t="str">
        <f t="shared" si="34"/>
        <v>Acorus Calamus0</v>
      </c>
      <c r="W85" s="267" t="str">
        <f t="shared" si="51"/>
        <v/>
      </c>
      <c r="X85" s="267" t="str">
        <f>IF(W85&lt;&gt;"",1+COUNT(X$12:X84),"")</f>
        <v/>
      </c>
      <c r="Y85" s="267" t="str">
        <f t="shared" si="42"/>
        <v/>
      </c>
      <c r="Z85" s="267" t="str">
        <f t="shared" si="43"/>
        <v/>
      </c>
      <c r="AA85" s="267" t="str">
        <f t="shared" si="44"/>
        <v/>
      </c>
      <c r="AB85" s="267" t="str">
        <f t="shared" si="45"/>
        <v/>
      </c>
      <c r="AC85" s="267" t="str">
        <f t="shared" si="46"/>
        <v/>
      </c>
      <c r="AD85" s="267" t="str">
        <f t="shared" si="47"/>
        <v/>
      </c>
      <c r="AE85" s="267" t="str">
        <f t="shared" si="48"/>
        <v/>
      </c>
      <c r="AF85" s="267">
        <f t="shared" si="49"/>
        <v>0</v>
      </c>
      <c r="AG85" s="267" t="str">
        <f t="shared" si="50"/>
        <v/>
      </c>
      <c r="AH85" s="267" t="str">
        <f>IFERROR(RANK(AG85,AG$12:AG$211,1)+COUNTIF(AG$12:AG85,AG85)-1,"")</f>
        <v/>
      </c>
      <c r="AM85" s="267">
        <v>74</v>
      </c>
      <c r="AN85" s="267">
        <v>75</v>
      </c>
    </row>
    <row r="86" spans="1:40" x14ac:dyDescent="0.25">
      <c r="A86" s="267">
        <v>75</v>
      </c>
      <c r="B86" s="299" t="str">
        <f t="shared" si="32"/>
        <v/>
      </c>
      <c r="C86" s="300" t="str">
        <f t="shared" si="33"/>
        <v/>
      </c>
      <c r="D86" s="301" t="str">
        <f t="shared" si="35"/>
        <v/>
      </c>
      <c r="E86" s="302" t="str">
        <f t="shared" si="31"/>
        <v/>
      </c>
      <c r="F86" s="303" t="str">
        <f t="shared" si="36"/>
        <v/>
      </c>
      <c r="G86" s="304" t="str">
        <f t="shared" si="37"/>
        <v/>
      </c>
      <c r="H86" s="305" t="str">
        <f t="shared" si="38"/>
        <v/>
      </c>
      <c r="I86" s="306"/>
      <c r="J86" s="307"/>
      <c r="L86" s="267" t="str">
        <f>TB!AG78</f>
        <v>Acorus Calamus</v>
      </c>
      <c r="M86" s="267" t="str">
        <f>TB!AD78</f>
        <v/>
      </c>
      <c r="N86" s="267">
        <f>TB!AT78</f>
        <v>0</v>
      </c>
      <c r="O86" s="267">
        <f>TB!AV78</f>
        <v>38</v>
      </c>
      <c r="P86" s="267">
        <f t="shared" si="39"/>
        <v>0</v>
      </c>
      <c r="Q86" s="267">
        <f t="shared" si="40"/>
        <v>0</v>
      </c>
      <c r="R86" s="267" t="str">
        <f>TB!AU78</f>
        <v>x6</v>
      </c>
      <c r="S86" s="267">
        <f>COUNTIF(N$12:N86,N86)</f>
        <v>75</v>
      </c>
      <c r="T86" s="267">
        <v>1</v>
      </c>
      <c r="U86" s="267">
        <f t="shared" si="41"/>
        <v>200</v>
      </c>
      <c r="V86" s="267" t="str">
        <f t="shared" si="34"/>
        <v>Acorus Calamus0</v>
      </c>
      <c r="W86" s="267" t="str">
        <f t="shared" si="51"/>
        <v/>
      </c>
      <c r="X86" s="267" t="str">
        <f>IF(W86&lt;&gt;"",1+COUNT(X$12:X85),"")</f>
        <v/>
      </c>
      <c r="Y86" s="267" t="str">
        <f t="shared" si="42"/>
        <v/>
      </c>
      <c r="Z86" s="267" t="str">
        <f t="shared" si="43"/>
        <v/>
      </c>
      <c r="AA86" s="267" t="str">
        <f t="shared" si="44"/>
        <v/>
      </c>
      <c r="AB86" s="267" t="str">
        <f t="shared" si="45"/>
        <v/>
      </c>
      <c r="AC86" s="267" t="str">
        <f t="shared" si="46"/>
        <v/>
      </c>
      <c r="AD86" s="267" t="str">
        <f t="shared" si="47"/>
        <v/>
      </c>
      <c r="AE86" s="267" t="str">
        <f t="shared" si="48"/>
        <v/>
      </c>
      <c r="AF86" s="267">
        <f t="shared" si="49"/>
        <v>0</v>
      </c>
      <c r="AG86" s="267" t="str">
        <f t="shared" si="50"/>
        <v/>
      </c>
      <c r="AH86" s="267" t="str">
        <f>IFERROR(RANK(AG86,AG$12:AG$211,1)+COUNTIF(AG$12:AG86,AG86)-1,"")</f>
        <v/>
      </c>
      <c r="AM86" s="267">
        <v>75</v>
      </c>
      <c r="AN86" s="267">
        <v>77</v>
      </c>
    </row>
    <row r="87" spans="1:40" x14ac:dyDescent="0.25">
      <c r="A87" s="267">
        <v>76</v>
      </c>
      <c r="B87" s="291" t="str">
        <f t="shared" si="32"/>
        <v/>
      </c>
      <c r="C87" s="292" t="str">
        <f t="shared" si="33"/>
        <v/>
      </c>
      <c r="D87" s="293" t="str">
        <f t="shared" si="35"/>
        <v/>
      </c>
      <c r="E87" s="294" t="str">
        <f t="shared" si="31"/>
        <v/>
      </c>
      <c r="F87" s="295" t="str">
        <f t="shared" si="36"/>
        <v/>
      </c>
      <c r="G87" s="281" t="str">
        <f t="shared" si="37"/>
        <v/>
      </c>
      <c r="H87" s="296" t="str">
        <f t="shared" si="38"/>
        <v/>
      </c>
      <c r="I87" s="297"/>
      <c r="J87" s="298"/>
      <c r="L87" s="267" t="str">
        <f>TB!AG79</f>
        <v>Acorus Calamus</v>
      </c>
      <c r="M87" s="267" t="str">
        <f>TB!AD79</f>
        <v/>
      </c>
      <c r="N87" s="267">
        <f>TB!AT79</f>
        <v>0</v>
      </c>
      <c r="O87" s="267">
        <f>TB!AV79</f>
        <v>38</v>
      </c>
      <c r="P87" s="267">
        <f t="shared" si="39"/>
        <v>0</v>
      </c>
      <c r="Q87" s="267">
        <f t="shared" si="40"/>
        <v>0</v>
      </c>
      <c r="R87" s="267" t="str">
        <f>TB!AU79</f>
        <v>x6</v>
      </c>
      <c r="S87" s="267">
        <f>COUNTIF(N$12:N87,N87)</f>
        <v>76</v>
      </c>
      <c r="T87" s="267">
        <v>1</v>
      </c>
      <c r="U87" s="267">
        <f t="shared" si="41"/>
        <v>200</v>
      </c>
      <c r="V87" s="267" t="str">
        <f t="shared" si="34"/>
        <v>Acorus Calamus0</v>
      </c>
      <c r="W87" s="267" t="str">
        <f t="shared" si="51"/>
        <v/>
      </c>
      <c r="X87" s="267" t="str">
        <f>IF(W87&lt;&gt;"",1+COUNT(X$12:X86),"")</f>
        <v/>
      </c>
      <c r="Y87" s="267" t="str">
        <f t="shared" si="42"/>
        <v/>
      </c>
      <c r="Z87" s="267" t="str">
        <f t="shared" si="43"/>
        <v/>
      </c>
      <c r="AA87" s="267" t="str">
        <f t="shared" si="44"/>
        <v/>
      </c>
      <c r="AB87" s="267" t="str">
        <f t="shared" si="45"/>
        <v/>
      </c>
      <c r="AC87" s="267" t="str">
        <f t="shared" si="46"/>
        <v/>
      </c>
      <c r="AD87" s="267" t="str">
        <f t="shared" si="47"/>
        <v/>
      </c>
      <c r="AE87" s="267" t="str">
        <f t="shared" si="48"/>
        <v/>
      </c>
      <c r="AF87" s="267">
        <f t="shared" si="49"/>
        <v>0</v>
      </c>
      <c r="AG87" s="267" t="str">
        <f t="shared" si="50"/>
        <v/>
      </c>
      <c r="AH87" s="267" t="str">
        <f>IFERROR(RANK(AG87,AG$12:AG$211,1)+COUNTIF(AG$12:AG87,AG87)-1,"")</f>
        <v/>
      </c>
      <c r="AM87" s="267">
        <v>76</v>
      </c>
      <c r="AN87" s="267">
        <v>79</v>
      </c>
    </row>
    <row r="88" spans="1:40" x14ac:dyDescent="0.25">
      <c r="A88" s="267">
        <v>77</v>
      </c>
      <c r="B88" s="299" t="str">
        <f t="shared" si="32"/>
        <v/>
      </c>
      <c r="C88" s="300" t="str">
        <f t="shared" si="33"/>
        <v/>
      </c>
      <c r="D88" s="301" t="str">
        <f t="shared" si="35"/>
        <v/>
      </c>
      <c r="E88" s="302" t="str">
        <f t="shared" si="31"/>
        <v/>
      </c>
      <c r="F88" s="303" t="str">
        <f t="shared" si="36"/>
        <v/>
      </c>
      <c r="G88" s="304" t="str">
        <f t="shared" si="37"/>
        <v/>
      </c>
      <c r="H88" s="305" t="str">
        <f t="shared" si="38"/>
        <v/>
      </c>
      <c r="I88" s="306"/>
      <c r="J88" s="307"/>
      <c r="L88" s="267" t="str">
        <f>TB!AG80</f>
        <v>Acorus Calamus</v>
      </c>
      <c r="M88" s="267" t="str">
        <f>TB!AD80</f>
        <v/>
      </c>
      <c r="N88" s="267">
        <f>TB!AT80</f>
        <v>0</v>
      </c>
      <c r="O88" s="267">
        <f>TB!AV80</f>
        <v>38</v>
      </c>
      <c r="P88" s="267">
        <f t="shared" si="39"/>
        <v>0</v>
      </c>
      <c r="Q88" s="267">
        <f t="shared" si="40"/>
        <v>0</v>
      </c>
      <c r="R88" s="267" t="str">
        <f>TB!AU80</f>
        <v>x6</v>
      </c>
      <c r="S88" s="267">
        <f>COUNTIF(N$12:N88,N88)</f>
        <v>77</v>
      </c>
      <c r="T88" s="267">
        <v>1</v>
      </c>
      <c r="U88" s="267">
        <f t="shared" si="41"/>
        <v>200</v>
      </c>
      <c r="V88" s="267" t="str">
        <f t="shared" si="34"/>
        <v>Acorus Calamus0</v>
      </c>
      <c r="W88" s="267" t="str">
        <f t="shared" si="51"/>
        <v/>
      </c>
      <c r="X88" s="267" t="str">
        <f>IF(W88&lt;&gt;"",1+COUNT(X$12:X87),"")</f>
        <v/>
      </c>
      <c r="Y88" s="267" t="str">
        <f t="shared" si="42"/>
        <v/>
      </c>
      <c r="Z88" s="267" t="str">
        <f t="shared" si="43"/>
        <v/>
      </c>
      <c r="AA88" s="267" t="str">
        <f t="shared" si="44"/>
        <v/>
      </c>
      <c r="AB88" s="267" t="str">
        <f t="shared" si="45"/>
        <v/>
      </c>
      <c r="AC88" s="267" t="str">
        <f t="shared" si="46"/>
        <v/>
      </c>
      <c r="AD88" s="267" t="str">
        <f t="shared" si="47"/>
        <v/>
      </c>
      <c r="AE88" s="267" t="str">
        <f t="shared" si="48"/>
        <v/>
      </c>
      <c r="AF88" s="267">
        <f t="shared" si="49"/>
        <v>0</v>
      </c>
      <c r="AG88" s="267" t="str">
        <f t="shared" si="50"/>
        <v/>
      </c>
      <c r="AH88" s="267" t="str">
        <f>IFERROR(RANK(AG88,AG$12:AG$211,1)+COUNTIF(AG$12:AG88,AG88)-1,"")</f>
        <v/>
      </c>
      <c r="AM88" s="267">
        <v>77</v>
      </c>
      <c r="AN88" s="267">
        <v>81</v>
      </c>
    </row>
    <row r="89" spans="1:40" x14ac:dyDescent="0.25">
      <c r="A89" s="267">
        <v>78</v>
      </c>
      <c r="B89" s="291" t="str">
        <f t="shared" si="32"/>
        <v/>
      </c>
      <c r="C89" s="292" t="str">
        <f t="shared" si="33"/>
        <v/>
      </c>
      <c r="D89" s="293" t="str">
        <f t="shared" si="35"/>
        <v/>
      </c>
      <c r="E89" s="294" t="str">
        <f t="shared" si="31"/>
        <v/>
      </c>
      <c r="F89" s="295" t="str">
        <f t="shared" si="36"/>
        <v/>
      </c>
      <c r="G89" s="281" t="str">
        <f t="shared" si="37"/>
        <v/>
      </c>
      <c r="H89" s="296" t="str">
        <f t="shared" si="38"/>
        <v/>
      </c>
      <c r="I89" s="297"/>
      <c r="J89" s="298"/>
      <c r="L89" s="267" t="str">
        <f>TB!AG81</f>
        <v>Acorus Calamus</v>
      </c>
      <c r="M89" s="267" t="str">
        <f>TB!AD81</f>
        <v/>
      </c>
      <c r="N89" s="267">
        <f>TB!AT81</f>
        <v>0</v>
      </c>
      <c r="O89" s="267">
        <f>TB!AV81</f>
        <v>38</v>
      </c>
      <c r="P89" s="267">
        <f t="shared" si="39"/>
        <v>0</v>
      </c>
      <c r="Q89" s="267">
        <f t="shared" si="40"/>
        <v>0</v>
      </c>
      <c r="R89" s="267" t="str">
        <f>TB!AU81</f>
        <v>x6</v>
      </c>
      <c r="S89" s="267">
        <f>COUNTIF(N$12:N89,N89)</f>
        <v>78</v>
      </c>
      <c r="T89" s="267">
        <v>1</v>
      </c>
      <c r="U89" s="267">
        <f t="shared" si="41"/>
        <v>200</v>
      </c>
      <c r="V89" s="267" t="str">
        <f t="shared" si="34"/>
        <v>Acorus Calamus0</v>
      </c>
      <c r="W89" s="267" t="str">
        <f t="shared" si="51"/>
        <v/>
      </c>
      <c r="X89" s="267" t="str">
        <f>IF(W89&lt;&gt;"",1+COUNT(X$12:X88),"")</f>
        <v/>
      </c>
      <c r="Y89" s="267" t="str">
        <f t="shared" si="42"/>
        <v/>
      </c>
      <c r="Z89" s="267" t="str">
        <f t="shared" si="43"/>
        <v/>
      </c>
      <c r="AA89" s="267" t="str">
        <f t="shared" si="44"/>
        <v/>
      </c>
      <c r="AB89" s="267" t="str">
        <f t="shared" si="45"/>
        <v/>
      </c>
      <c r="AC89" s="267" t="str">
        <f t="shared" si="46"/>
        <v/>
      </c>
      <c r="AD89" s="267" t="str">
        <f t="shared" si="47"/>
        <v/>
      </c>
      <c r="AE89" s="267" t="str">
        <f t="shared" si="48"/>
        <v/>
      </c>
      <c r="AF89" s="267">
        <f t="shared" si="49"/>
        <v>0</v>
      </c>
      <c r="AG89" s="267" t="str">
        <f t="shared" si="50"/>
        <v/>
      </c>
      <c r="AH89" s="267" t="str">
        <f>IFERROR(RANK(AG89,AG$12:AG$211,1)+COUNTIF(AG$12:AG89,AG89)-1,"")</f>
        <v/>
      </c>
      <c r="AM89" s="267">
        <v>78</v>
      </c>
      <c r="AN89" s="267">
        <v>83</v>
      </c>
    </row>
    <row r="90" spans="1:40" x14ac:dyDescent="0.25">
      <c r="A90" s="267">
        <v>79</v>
      </c>
      <c r="B90" s="299" t="str">
        <f t="shared" si="32"/>
        <v/>
      </c>
      <c r="C90" s="300" t="str">
        <f t="shared" si="33"/>
        <v/>
      </c>
      <c r="D90" s="301" t="str">
        <f t="shared" si="35"/>
        <v/>
      </c>
      <c r="E90" s="302" t="str">
        <f t="shared" si="31"/>
        <v/>
      </c>
      <c r="F90" s="303" t="str">
        <f t="shared" si="36"/>
        <v/>
      </c>
      <c r="G90" s="304" t="str">
        <f t="shared" si="37"/>
        <v/>
      </c>
      <c r="H90" s="305" t="str">
        <f t="shared" si="38"/>
        <v/>
      </c>
      <c r="I90" s="306"/>
      <c r="J90" s="307"/>
      <c r="L90" s="267" t="str">
        <f>TB!AG82</f>
        <v>Acorus Calamus</v>
      </c>
      <c r="M90" s="267" t="str">
        <f>TB!AD82</f>
        <v/>
      </c>
      <c r="N90" s="267">
        <f>TB!AT82</f>
        <v>0</v>
      </c>
      <c r="O90" s="267">
        <f>TB!AV82</f>
        <v>38</v>
      </c>
      <c r="P90" s="267">
        <f t="shared" si="39"/>
        <v>0</v>
      </c>
      <c r="Q90" s="267">
        <f t="shared" si="40"/>
        <v>0</v>
      </c>
      <c r="R90" s="267" t="str">
        <f>TB!AU82</f>
        <v>x6</v>
      </c>
      <c r="S90" s="267">
        <f>COUNTIF(N$12:N90,N90)</f>
        <v>79</v>
      </c>
      <c r="T90" s="267">
        <v>1</v>
      </c>
      <c r="U90" s="267">
        <f t="shared" si="41"/>
        <v>200</v>
      </c>
      <c r="V90" s="267" t="str">
        <f t="shared" si="34"/>
        <v>Acorus Calamus0</v>
      </c>
      <c r="W90" s="267" t="str">
        <f t="shared" si="51"/>
        <v/>
      </c>
      <c r="X90" s="267" t="str">
        <f>IF(W90&lt;&gt;"",1+COUNT(X$12:X89),"")</f>
        <v/>
      </c>
      <c r="Y90" s="267" t="str">
        <f t="shared" si="42"/>
        <v/>
      </c>
      <c r="Z90" s="267" t="str">
        <f t="shared" si="43"/>
        <v/>
      </c>
      <c r="AA90" s="267" t="str">
        <f t="shared" si="44"/>
        <v/>
      </c>
      <c r="AB90" s="267" t="str">
        <f t="shared" si="45"/>
        <v/>
      </c>
      <c r="AC90" s="267" t="str">
        <f t="shared" si="46"/>
        <v/>
      </c>
      <c r="AD90" s="267" t="str">
        <f t="shared" si="47"/>
        <v/>
      </c>
      <c r="AE90" s="267" t="str">
        <f t="shared" si="48"/>
        <v/>
      </c>
      <c r="AF90" s="267">
        <f t="shared" si="49"/>
        <v>0</v>
      </c>
      <c r="AG90" s="267" t="str">
        <f t="shared" si="50"/>
        <v/>
      </c>
      <c r="AH90" s="267" t="str">
        <f>IFERROR(RANK(AG90,AG$12:AG$211,1)+COUNTIF(AG$12:AG90,AG90)-1,"")</f>
        <v/>
      </c>
      <c r="AM90" s="267">
        <v>79</v>
      </c>
      <c r="AN90" s="267">
        <v>85</v>
      </c>
    </row>
    <row r="91" spans="1:40" x14ac:dyDescent="0.25">
      <c r="A91" s="267">
        <v>80</v>
      </c>
      <c r="B91" s="291" t="str">
        <f t="shared" si="32"/>
        <v/>
      </c>
      <c r="C91" s="292" t="str">
        <f t="shared" si="33"/>
        <v/>
      </c>
      <c r="D91" s="293" t="str">
        <f t="shared" si="35"/>
        <v/>
      </c>
      <c r="E91" s="294" t="str">
        <f t="shared" si="31"/>
        <v/>
      </c>
      <c r="F91" s="295" t="str">
        <f t="shared" si="36"/>
        <v/>
      </c>
      <c r="G91" s="281" t="str">
        <f t="shared" si="37"/>
        <v/>
      </c>
      <c r="H91" s="296" t="str">
        <f t="shared" si="38"/>
        <v/>
      </c>
      <c r="I91" s="297"/>
      <c r="J91" s="298"/>
      <c r="L91" s="267" t="str">
        <f>TB!AG83</f>
        <v>Acorus Calamus</v>
      </c>
      <c r="M91" s="267" t="str">
        <f>TB!AD83</f>
        <v/>
      </c>
      <c r="N91" s="267">
        <f>TB!AT83</f>
        <v>0</v>
      </c>
      <c r="O91" s="267">
        <f>TB!AV83</f>
        <v>38</v>
      </c>
      <c r="P91" s="267">
        <f t="shared" si="39"/>
        <v>0</v>
      </c>
      <c r="Q91" s="267">
        <f t="shared" si="40"/>
        <v>0</v>
      </c>
      <c r="R91" s="267" t="str">
        <f>TB!AU83</f>
        <v>x6</v>
      </c>
      <c r="S91" s="267">
        <f>COUNTIF(N$12:N91,N91)</f>
        <v>80</v>
      </c>
      <c r="T91" s="267">
        <v>1</v>
      </c>
      <c r="U91" s="267">
        <f>SUMIFS(T$12:T$211,L$12:L$211,L91,M$12:M$211,M91,N$12:N$211,N91)</f>
        <v>200</v>
      </c>
      <c r="V91" s="267" t="str">
        <f>IF(L91&lt;&gt;"",L91&amp;M91&amp;N91,"")</f>
        <v>Acorus Calamus0</v>
      </c>
      <c r="W91" s="267" t="str">
        <f>IF(V91=V90,"",V91)</f>
        <v/>
      </c>
      <c r="X91" s="267" t="str">
        <f>IF(W91&lt;&gt;"",1+COUNT(X$12:X90),"")</f>
        <v/>
      </c>
      <c r="Y91" s="267" t="str">
        <f t="shared" si="42"/>
        <v/>
      </c>
      <c r="Z91" s="267" t="str">
        <f t="shared" si="43"/>
        <v/>
      </c>
      <c r="AA91" s="267" t="str">
        <f>IF(X91&lt;&gt;"",U91,"")</f>
        <v/>
      </c>
      <c r="AB91" s="267" t="str">
        <f t="shared" si="45"/>
        <v/>
      </c>
      <c r="AC91" s="267" t="str">
        <f>IF(X91&lt;&gt;"",P91,"")</f>
        <v/>
      </c>
      <c r="AD91" s="267" t="str">
        <f t="shared" si="47"/>
        <v/>
      </c>
      <c r="AE91" s="267" t="str">
        <f t="shared" si="48"/>
        <v/>
      </c>
      <c r="AF91" s="267">
        <f t="shared" si="49"/>
        <v>0</v>
      </c>
      <c r="AG91" s="267" t="str">
        <f t="shared" si="50"/>
        <v/>
      </c>
      <c r="AH91" s="267" t="str">
        <f>IFERROR(RANK(AG91,AG$12:AG$211,1)+COUNTIF(AG$12:AG91,AG91)-1,"")</f>
        <v/>
      </c>
      <c r="AM91" s="267">
        <v>80</v>
      </c>
      <c r="AN91" s="267">
        <v>87</v>
      </c>
    </row>
    <row r="92" spans="1:40" x14ac:dyDescent="0.25">
      <c r="A92" s="267">
        <v>81</v>
      </c>
      <c r="B92" s="299" t="str">
        <f t="shared" si="32"/>
        <v/>
      </c>
      <c r="C92" s="300" t="str">
        <f t="shared" si="33"/>
        <v/>
      </c>
      <c r="D92" s="301" t="str">
        <f t="shared" si="35"/>
        <v/>
      </c>
      <c r="E92" s="302" t="str">
        <f t="shared" si="31"/>
        <v/>
      </c>
      <c r="F92" s="303" t="str">
        <f t="shared" si="36"/>
        <v/>
      </c>
      <c r="G92" s="304" t="str">
        <f t="shared" si="37"/>
        <v/>
      </c>
      <c r="H92" s="305" t="str">
        <f t="shared" si="38"/>
        <v/>
      </c>
      <c r="I92" s="306"/>
      <c r="J92" s="307"/>
      <c r="L92" s="267" t="str">
        <f>TB!AG84</f>
        <v>Acorus Calamus</v>
      </c>
      <c r="M92" s="267" t="str">
        <f>TB!AD84</f>
        <v/>
      </c>
      <c r="N92" s="267">
        <f>TB!AT84</f>
        <v>0</v>
      </c>
      <c r="O92" s="267">
        <f>TB!AV84</f>
        <v>38</v>
      </c>
      <c r="P92" s="267">
        <f t="shared" si="39"/>
        <v>0</v>
      </c>
      <c r="Q92" s="267">
        <f t="shared" si="40"/>
        <v>0</v>
      </c>
      <c r="R92" s="267" t="str">
        <f>TB!AU84</f>
        <v>x6</v>
      </c>
      <c r="S92" s="267">
        <f>COUNTIF(N$12:N92,N92)</f>
        <v>81</v>
      </c>
      <c r="T92" s="267">
        <v>1</v>
      </c>
      <c r="U92" s="267">
        <f t="shared" si="41"/>
        <v>200</v>
      </c>
      <c r="V92" s="267" t="str">
        <f t="shared" ref="V92:V155" si="52">IF(L92&lt;&gt;"",L92&amp;M92&amp;N92,"")</f>
        <v>Acorus Calamus0</v>
      </c>
      <c r="W92" s="267" t="str">
        <f t="shared" si="51"/>
        <v/>
      </c>
      <c r="X92" s="267" t="str">
        <f>IF(W92&lt;&gt;"",1+COUNT(X$12:X91),"")</f>
        <v/>
      </c>
      <c r="Y92" s="267" t="str">
        <f t="shared" si="42"/>
        <v/>
      </c>
      <c r="Z92" s="267" t="str">
        <f t="shared" si="43"/>
        <v/>
      </c>
      <c r="AA92" s="267" t="str">
        <f t="shared" si="44"/>
        <v/>
      </c>
      <c r="AB92" s="267" t="str">
        <f t="shared" si="45"/>
        <v/>
      </c>
      <c r="AC92" s="267" t="str">
        <f t="shared" si="46"/>
        <v/>
      </c>
      <c r="AD92" s="267" t="str">
        <f t="shared" si="47"/>
        <v/>
      </c>
      <c r="AE92" s="267" t="str">
        <f t="shared" si="48"/>
        <v/>
      </c>
      <c r="AF92" s="267">
        <f t="shared" si="49"/>
        <v>0</v>
      </c>
      <c r="AG92" s="267" t="str">
        <f t="shared" si="50"/>
        <v/>
      </c>
      <c r="AH92" s="267" t="str">
        <f>IFERROR(RANK(AG92,AG$12:AG$211,1)+COUNTIF(AG$12:AG92,AG92)-1,"")</f>
        <v/>
      </c>
      <c r="AM92" s="267">
        <v>81</v>
      </c>
      <c r="AN92" s="267">
        <v>89</v>
      </c>
    </row>
    <row r="93" spans="1:40" x14ac:dyDescent="0.25">
      <c r="A93" s="267">
        <v>82</v>
      </c>
      <c r="B93" s="291" t="str">
        <f t="shared" si="32"/>
        <v/>
      </c>
      <c r="C93" s="292" t="str">
        <f t="shared" si="33"/>
        <v/>
      </c>
      <c r="D93" s="293" t="str">
        <f t="shared" si="35"/>
        <v/>
      </c>
      <c r="E93" s="294" t="str">
        <f t="shared" si="31"/>
        <v/>
      </c>
      <c r="F93" s="295" t="str">
        <f t="shared" si="36"/>
        <v/>
      </c>
      <c r="G93" s="281" t="str">
        <f t="shared" si="37"/>
        <v/>
      </c>
      <c r="H93" s="296" t="str">
        <f t="shared" si="38"/>
        <v/>
      </c>
      <c r="I93" s="297"/>
      <c r="J93" s="298"/>
      <c r="L93" s="267" t="str">
        <f>TB!AG85</f>
        <v>Acorus Calamus</v>
      </c>
      <c r="M93" s="267" t="str">
        <f>TB!AD85</f>
        <v/>
      </c>
      <c r="N93" s="267">
        <f>TB!AT85</f>
        <v>0</v>
      </c>
      <c r="O93" s="267">
        <f>TB!AV85</f>
        <v>38</v>
      </c>
      <c r="P93" s="267">
        <f t="shared" si="39"/>
        <v>0</v>
      </c>
      <c r="Q93" s="267">
        <f t="shared" si="40"/>
        <v>0</v>
      </c>
      <c r="R93" s="267" t="str">
        <f>TB!AU85</f>
        <v>x6</v>
      </c>
      <c r="S93" s="267">
        <f>COUNTIF(N$12:N93,N93)</f>
        <v>82</v>
      </c>
      <c r="T93" s="267">
        <v>1</v>
      </c>
      <c r="U93" s="267">
        <f t="shared" si="41"/>
        <v>200</v>
      </c>
      <c r="V93" s="267" t="str">
        <f t="shared" si="52"/>
        <v>Acorus Calamus0</v>
      </c>
      <c r="W93" s="267" t="str">
        <f t="shared" si="51"/>
        <v/>
      </c>
      <c r="X93" s="267" t="str">
        <f>IF(W93&lt;&gt;"",1+COUNT(X$12:X92),"")</f>
        <v/>
      </c>
      <c r="Y93" s="267" t="str">
        <f t="shared" si="42"/>
        <v/>
      </c>
      <c r="Z93" s="267" t="str">
        <f t="shared" si="43"/>
        <v/>
      </c>
      <c r="AA93" s="267" t="str">
        <f t="shared" si="44"/>
        <v/>
      </c>
      <c r="AB93" s="267" t="str">
        <f t="shared" si="45"/>
        <v/>
      </c>
      <c r="AC93" s="267" t="str">
        <f t="shared" si="46"/>
        <v/>
      </c>
      <c r="AD93" s="267" t="str">
        <f t="shared" si="47"/>
        <v/>
      </c>
      <c r="AE93" s="267" t="str">
        <f t="shared" si="48"/>
        <v/>
      </c>
      <c r="AF93" s="267">
        <f t="shared" si="49"/>
        <v>0</v>
      </c>
      <c r="AG93" s="267" t="str">
        <f t="shared" si="50"/>
        <v/>
      </c>
      <c r="AH93" s="267" t="str">
        <f>IFERROR(RANK(AG93,AG$12:AG$211,1)+COUNTIF(AG$12:AG93,AG93)-1,"")</f>
        <v/>
      </c>
      <c r="AM93" s="267">
        <v>82</v>
      </c>
      <c r="AN93" s="267">
        <v>91</v>
      </c>
    </row>
    <row r="94" spans="1:40" x14ac:dyDescent="0.25">
      <c r="A94" s="267">
        <v>83</v>
      </c>
      <c r="B94" s="299" t="str">
        <f t="shared" si="32"/>
        <v/>
      </c>
      <c r="C94" s="300" t="str">
        <f t="shared" si="33"/>
        <v/>
      </c>
      <c r="D94" s="301" t="str">
        <f t="shared" si="35"/>
        <v/>
      </c>
      <c r="E94" s="302" t="str">
        <f t="shared" si="31"/>
        <v/>
      </c>
      <c r="F94" s="303" t="str">
        <f t="shared" si="36"/>
        <v/>
      </c>
      <c r="G94" s="304" t="str">
        <f t="shared" si="37"/>
        <v/>
      </c>
      <c r="H94" s="305" t="str">
        <f t="shared" si="38"/>
        <v/>
      </c>
      <c r="I94" s="306"/>
      <c r="J94" s="307"/>
      <c r="L94" s="267" t="str">
        <f>TB!AG86</f>
        <v>Acorus Calamus</v>
      </c>
      <c r="M94" s="267" t="str">
        <f>TB!AD86</f>
        <v/>
      </c>
      <c r="N94" s="267">
        <f>TB!AT86</f>
        <v>0</v>
      </c>
      <c r="O94" s="267">
        <f>TB!AV86</f>
        <v>38</v>
      </c>
      <c r="P94" s="267">
        <f t="shared" si="39"/>
        <v>0</v>
      </c>
      <c r="Q94" s="267">
        <f t="shared" si="40"/>
        <v>0</v>
      </c>
      <c r="R94" s="267" t="str">
        <f>TB!AU86</f>
        <v>x6</v>
      </c>
      <c r="S94" s="267">
        <f>COUNTIF(N$12:N94,N94)</f>
        <v>83</v>
      </c>
      <c r="T94" s="267">
        <v>1</v>
      </c>
      <c r="U94" s="267">
        <f t="shared" si="41"/>
        <v>200</v>
      </c>
      <c r="V94" s="267" t="str">
        <f t="shared" si="52"/>
        <v>Acorus Calamus0</v>
      </c>
      <c r="W94" s="267" t="str">
        <f t="shared" si="51"/>
        <v/>
      </c>
      <c r="X94" s="267" t="str">
        <f>IF(W94&lt;&gt;"",1+COUNT(X$12:X93),"")</f>
        <v/>
      </c>
      <c r="Y94" s="267" t="str">
        <f t="shared" si="42"/>
        <v/>
      </c>
      <c r="Z94" s="267" t="str">
        <f t="shared" si="43"/>
        <v/>
      </c>
      <c r="AA94" s="267" t="str">
        <f t="shared" si="44"/>
        <v/>
      </c>
      <c r="AB94" s="267" t="str">
        <f t="shared" si="45"/>
        <v/>
      </c>
      <c r="AC94" s="267" t="str">
        <f t="shared" si="46"/>
        <v/>
      </c>
      <c r="AD94" s="267" t="str">
        <f t="shared" si="47"/>
        <v/>
      </c>
      <c r="AE94" s="267" t="str">
        <f t="shared" si="48"/>
        <v/>
      </c>
      <c r="AF94" s="267">
        <f t="shared" si="49"/>
        <v>0</v>
      </c>
      <c r="AG94" s="267" t="str">
        <f t="shared" si="50"/>
        <v/>
      </c>
      <c r="AH94" s="267" t="str">
        <f>IFERROR(RANK(AG94,AG$12:AG$211,1)+COUNTIF(AG$12:AG94,AG94)-1,"")</f>
        <v/>
      </c>
      <c r="AM94" s="267">
        <v>83</v>
      </c>
      <c r="AN94" s="267">
        <v>93</v>
      </c>
    </row>
    <row r="95" spans="1:40" x14ac:dyDescent="0.25">
      <c r="A95" s="267">
        <v>84</v>
      </c>
      <c r="B95" s="291" t="str">
        <f t="shared" si="32"/>
        <v/>
      </c>
      <c r="C95" s="292" t="str">
        <f t="shared" si="33"/>
        <v/>
      </c>
      <c r="D95" s="293" t="str">
        <f t="shared" si="35"/>
        <v/>
      </c>
      <c r="E95" s="294" t="str">
        <f t="shared" ref="E95:E126" si="53">_xlfn.SINGLE(_xlfn.XLOOKUP(A95,AH$12:AH$211,AA$12:AA$211,""))</f>
        <v/>
      </c>
      <c r="F95" s="295" t="str">
        <f t="shared" si="36"/>
        <v/>
      </c>
      <c r="G95" s="281" t="str">
        <f t="shared" si="37"/>
        <v/>
      </c>
      <c r="H95" s="296" t="str">
        <f t="shared" si="38"/>
        <v/>
      </c>
      <c r="I95" s="297"/>
      <c r="J95" s="298"/>
      <c r="L95" s="267" t="str">
        <f>TB!AG87</f>
        <v>Acorus Calamus</v>
      </c>
      <c r="M95" s="267" t="str">
        <f>TB!AD87</f>
        <v/>
      </c>
      <c r="N95" s="267">
        <f>TB!AT87</f>
        <v>0</v>
      </c>
      <c r="O95" s="267">
        <f>TB!AV87</f>
        <v>38</v>
      </c>
      <c r="P95" s="267">
        <f t="shared" si="39"/>
        <v>0</v>
      </c>
      <c r="Q95" s="267">
        <f t="shared" si="40"/>
        <v>0</v>
      </c>
      <c r="R95" s="267" t="str">
        <f>TB!AU87</f>
        <v>x6</v>
      </c>
      <c r="S95" s="267">
        <f>COUNTIF(N$12:N95,N95)</f>
        <v>84</v>
      </c>
      <c r="T95" s="267">
        <v>1</v>
      </c>
      <c r="U95" s="267">
        <f t="shared" si="41"/>
        <v>200</v>
      </c>
      <c r="V95" s="267" t="str">
        <f t="shared" si="52"/>
        <v>Acorus Calamus0</v>
      </c>
      <c r="W95" s="267" t="str">
        <f t="shared" si="51"/>
        <v/>
      </c>
      <c r="X95" s="267" t="str">
        <f>IF(W95&lt;&gt;"",1+COUNT(X$12:X94),"")</f>
        <v/>
      </c>
      <c r="Y95" s="267" t="str">
        <f t="shared" si="42"/>
        <v/>
      </c>
      <c r="Z95" s="267" t="str">
        <f t="shared" si="43"/>
        <v/>
      </c>
      <c r="AA95" s="267" t="str">
        <f t="shared" si="44"/>
        <v/>
      </c>
      <c r="AB95" s="267" t="str">
        <f t="shared" si="45"/>
        <v/>
      </c>
      <c r="AC95" s="267" t="str">
        <f t="shared" si="46"/>
        <v/>
      </c>
      <c r="AD95" s="267" t="str">
        <f t="shared" si="47"/>
        <v/>
      </c>
      <c r="AE95" s="267" t="str">
        <f t="shared" si="48"/>
        <v/>
      </c>
      <c r="AF95" s="267">
        <f t="shared" si="49"/>
        <v>0</v>
      </c>
      <c r="AG95" s="267" t="str">
        <f t="shared" si="50"/>
        <v/>
      </c>
      <c r="AH95" s="267" t="str">
        <f>IFERROR(RANK(AG95,AG$12:AG$211,1)+COUNTIF(AG$12:AG95,AG95)-1,"")</f>
        <v/>
      </c>
      <c r="AM95" s="267">
        <v>84</v>
      </c>
      <c r="AN95" s="267">
        <v>95</v>
      </c>
    </row>
    <row r="96" spans="1:40" x14ac:dyDescent="0.25">
      <c r="A96" s="267">
        <v>85</v>
      </c>
      <c r="B96" s="299" t="str">
        <f t="shared" si="32"/>
        <v/>
      </c>
      <c r="C96" s="300" t="str">
        <f t="shared" si="33"/>
        <v/>
      </c>
      <c r="D96" s="301" t="str">
        <f t="shared" si="35"/>
        <v/>
      </c>
      <c r="E96" s="302" t="str">
        <f t="shared" si="53"/>
        <v/>
      </c>
      <c r="F96" s="303" t="str">
        <f t="shared" si="36"/>
        <v/>
      </c>
      <c r="G96" s="304" t="str">
        <f t="shared" si="37"/>
        <v/>
      </c>
      <c r="H96" s="305" t="str">
        <f t="shared" si="38"/>
        <v/>
      </c>
      <c r="I96" s="306"/>
      <c r="J96" s="307"/>
      <c r="L96" s="267" t="str">
        <f>TB!AG88</f>
        <v>Acorus Calamus</v>
      </c>
      <c r="M96" s="267" t="str">
        <f>TB!AD88</f>
        <v/>
      </c>
      <c r="N96" s="267">
        <f>TB!AT88</f>
        <v>0</v>
      </c>
      <c r="O96" s="267">
        <f>TB!AV88</f>
        <v>38</v>
      </c>
      <c r="P96" s="267">
        <f t="shared" si="39"/>
        <v>0</v>
      </c>
      <c r="Q96" s="267">
        <f t="shared" si="40"/>
        <v>0</v>
      </c>
      <c r="R96" s="267" t="str">
        <f>TB!AU88</f>
        <v>x6</v>
      </c>
      <c r="S96" s="267">
        <f>COUNTIF(N$12:N96,N96)</f>
        <v>85</v>
      </c>
      <c r="T96" s="267">
        <v>1</v>
      </c>
      <c r="U96" s="267">
        <f t="shared" si="41"/>
        <v>200</v>
      </c>
      <c r="V96" s="267" t="str">
        <f t="shared" si="52"/>
        <v>Acorus Calamus0</v>
      </c>
      <c r="W96" s="267" t="str">
        <f t="shared" si="51"/>
        <v/>
      </c>
      <c r="X96" s="267" t="str">
        <f>IF(W96&lt;&gt;"",1+COUNT(X$12:X95),"")</f>
        <v/>
      </c>
      <c r="Y96" s="267" t="str">
        <f t="shared" si="42"/>
        <v/>
      </c>
      <c r="Z96" s="267" t="str">
        <f t="shared" si="43"/>
        <v/>
      </c>
      <c r="AA96" s="267" t="str">
        <f t="shared" si="44"/>
        <v/>
      </c>
      <c r="AB96" s="267" t="str">
        <f t="shared" si="45"/>
        <v/>
      </c>
      <c r="AC96" s="267" t="str">
        <f t="shared" si="46"/>
        <v/>
      </c>
      <c r="AD96" s="267" t="str">
        <f t="shared" si="47"/>
        <v/>
      </c>
      <c r="AE96" s="267" t="str">
        <f t="shared" si="48"/>
        <v/>
      </c>
      <c r="AF96" s="267">
        <f t="shared" si="49"/>
        <v>0</v>
      </c>
      <c r="AG96" s="267" t="str">
        <f t="shared" si="50"/>
        <v/>
      </c>
      <c r="AH96" s="267" t="str">
        <f>IFERROR(RANK(AG96,AG$12:AG$211,1)+COUNTIF(AG$12:AG96,AG96)-1,"")</f>
        <v/>
      </c>
      <c r="AM96" s="267">
        <v>85</v>
      </c>
      <c r="AN96" s="267">
        <v>97</v>
      </c>
    </row>
    <row r="97" spans="1:40" x14ac:dyDescent="0.25">
      <c r="A97" s="267">
        <v>86</v>
      </c>
      <c r="B97" s="291" t="str">
        <f t="shared" si="32"/>
        <v/>
      </c>
      <c r="C97" s="292" t="str">
        <f t="shared" si="33"/>
        <v/>
      </c>
      <c r="D97" s="293" t="str">
        <f t="shared" si="35"/>
        <v/>
      </c>
      <c r="E97" s="294" t="str">
        <f t="shared" si="53"/>
        <v/>
      </c>
      <c r="F97" s="295" t="str">
        <f t="shared" si="36"/>
        <v/>
      </c>
      <c r="G97" s="281" t="str">
        <f t="shared" si="37"/>
        <v/>
      </c>
      <c r="H97" s="296" t="str">
        <f t="shared" si="38"/>
        <v/>
      </c>
      <c r="I97" s="297"/>
      <c r="J97" s="298"/>
      <c r="L97" s="267" t="str">
        <f>TB!AG89</f>
        <v>Acorus Calamus</v>
      </c>
      <c r="M97" s="267" t="str">
        <f>TB!AD89</f>
        <v/>
      </c>
      <c r="N97" s="267">
        <f>TB!AT89</f>
        <v>0</v>
      </c>
      <c r="O97" s="267">
        <f>TB!AV89</f>
        <v>38</v>
      </c>
      <c r="P97" s="267">
        <f t="shared" si="39"/>
        <v>0</v>
      </c>
      <c r="Q97" s="267">
        <f t="shared" si="40"/>
        <v>0</v>
      </c>
      <c r="R97" s="267" t="str">
        <f>TB!AU89</f>
        <v>x6</v>
      </c>
      <c r="S97" s="267">
        <f>COUNTIF(N$12:N97,N97)</f>
        <v>86</v>
      </c>
      <c r="T97" s="267">
        <v>1</v>
      </c>
      <c r="U97" s="267">
        <f t="shared" si="41"/>
        <v>200</v>
      </c>
      <c r="V97" s="267" t="str">
        <f t="shared" si="52"/>
        <v>Acorus Calamus0</v>
      </c>
      <c r="W97" s="267" t="str">
        <f t="shared" si="51"/>
        <v/>
      </c>
      <c r="X97" s="267" t="str">
        <f>IF(W97&lt;&gt;"",1+COUNT(X$12:X96),"")</f>
        <v/>
      </c>
      <c r="Y97" s="267" t="str">
        <f t="shared" si="42"/>
        <v/>
      </c>
      <c r="Z97" s="267" t="str">
        <f t="shared" si="43"/>
        <v/>
      </c>
      <c r="AA97" s="267" t="str">
        <f t="shared" si="44"/>
        <v/>
      </c>
      <c r="AB97" s="267" t="str">
        <f t="shared" si="45"/>
        <v/>
      </c>
      <c r="AC97" s="267" t="str">
        <f t="shared" si="46"/>
        <v/>
      </c>
      <c r="AD97" s="267" t="str">
        <f t="shared" si="47"/>
        <v/>
      </c>
      <c r="AE97" s="267" t="str">
        <f t="shared" si="48"/>
        <v/>
      </c>
      <c r="AF97" s="267">
        <f t="shared" si="49"/>
        <v>0</v>
      </c>
      <c r="AG97" s="267" t="str">
        <f t="shared" si="50"/>
        <v/>
      </c>
      <c r="AH97" s="267" t="str">
        <f>IFERROR(RANK(AG97,AG$12:AG$211,1)+COUNTIF(AG$12:AG97,AG97)-1,"")</f>
        <v/>
      </c>
      <c r="AM97" s="267">
        <v>86</v>
      </c>
      <c r="AN97" s="267">
        <v>99</v>
      </c>
    </row>
    <row r="98" spans="1:40" x14ac:dyDescent="0.25">
      <c r="A98" s="267">
        <v>87</v>
      </c>
      <c r="B98" s="299" t="str">
        <f t="shared" si="32"/>
        <v/>
      </c>
      <c r="C98" s="300" t="str">
        <f t="shared" si="33"/>
        <v/>
      </c>
      <c r="D98" s="301" t="str">
        <f t="shared" si="35"/>
        <v/>
      </c>
      <c r="E98" s="302" t="str">
        <f t="shared" si="53"/>
        <v/>
      </c>
      <c r="F98" s="303" t="str">
        <f t="shared" si="36"/>
        <v/>
      </c>
      <c r="G98" s="304" t="str">
        <f t="shared" si="37"/>
        <v/>
      </c>
      <c r="H98" s="305" t="str">
        <f t="shared" si="38"/>
        <v/>
      </c>
      <c r="I98" s="306"/>
      <c r="J98" s="307"/>
      <c r="L98" s="267" t="str">
        <f>TB!AG90</f>
        <v>Acorus Calamus</v>
      </c>
      <c r="M98" s="267" t="str">
        <f>TB!AD90</f>
        <v/>
      </c>
      <c r="N98" s="267">
        <f>TB!AT90</f>
        <v>0</v>
      </c>
      <c r="O98" s="267">
        <f>TB!AV90</f>
        <v>38</v>
      </c>
      <c r="P98" s="267">
        <f t="shared" si="39"/>
        <v>0</v>
      </c>
      <c r="Q98" s="267">
        <f t="shared" si="40"/>
        <v>0</v>
      </c>
      <c r="R98" s="267" t="str">
        <f>TB!AU90</f>
        <v>x6</v>
      </c>
      <c r="S98" s="267">
        <f>COUNTIF(N$12:N98,N98)</f>
        <v>87</v>
      </c>
      <c r="T98" s="267">
        <v>1</v>
      </c>
      <c r="U98" s="267">
        <f t="shared" si="41"/>
        <v>200</v>
      </c>
      <c r="V98" s="267" t="str">
        <f t="shared" si="52"/>
        <v>Acorus Calamus0</v>
      </c>
      <c r="W98" s="267" t="str">
        <f t="shared" si="51"/>
        <v/>
      </c>
      <c r="X98" s="267" t="str">
        <f>IF(W98&lt;&gt;"",1+COUNT(X$12:X97),"")</f>
        <v/>
      </c>
      <c r="Y98" s="267" t="str">
        <f t="shared" si="42"/>
        <v/>
      </c>
      <c r="Z98" s="267" t="str">
        <f t="shared" si="43"/>
        <v/>
      </c>
      <c r="AA98" s="267" t="str">
        <f t="shared" si="44"/>
        <v/>
      </c>
      <c r="AB98" s="267" t="str">
        <f t="shared" si="45"/>
        <v/>
      </c>
      <c r="AC98" s="267" t="str">
        <f t="shared" si="46"/>
        <v/>
      </c>
      <c r="AD98" s="267" t="str">
        <f t="shared" si="47"/>
        <v/>
      </c>
      <c r="AE98" s="267" t="str">
        <f t="shared" si="48"/>
        <v/>
      </c>
      <c r="AF98" s="267">
        <f t="shared" si="49"/>
        <v>0</v>
      </c>
      <c r="AG98" s="267" t="str">
        <f t="shared" si="50"/>
        <v/>
      </c>
      <c r="AH98" s="267" t="str">
        <f>IFERROR(RANK(AG98,AG$12:AG$211,1)+COUNTIF(AG$12:AG98,AG98)-1,"")</f>
        <v/>
      </c>
      <c r="AM98" s="267">
        <v>87</v>
      </c>
      <c r="AN98" s="267">
        <v>101</v>
      </c>
    </row>
    <row r="99" spans="1:40" x14ac:dyDescent="0.25">
      <c r="A99" s="267">
        <v>88</v>
      </c>
      <c r="B99" s="291" t="str">
        <f t="shared" si="32"/>
        <v/>
      </c>
      <c r="C99" s="292" t="str">
        <f t="shared" si="33"/>
        <v/>
      </c>
      <c r="D99" s="293" t="str">
        <f t="shared" si="35"/>
        <v/>
      </c>
      <c r="E99" s="294" t="str">
        <f t="shared" si="53"/>
        <v/>
      </c>
      <c r="F99" s="295" t="str">
        <f t="shared" si="36"/>
        <v/>
      </c>
      <c r="G99" s="281" t="str">
        <f t="shared" si="37"/>
        <v/>
      </c>
      <c r="H99" s="296" t="str">
        <f t="shared" si="38"/>
        <v/>
      </c>
      <c r="I99" s="297"/>
      <c r="J99" s="298"/>
      <c r="L99" s="267" t="str">
        <f>TB!AG91</f>
        <v>Acorus Calamus</v>
      </c>
      <c r="M99" s="267" t="str">
        <f>TB!AD91</f>
        <v/>
      </c>
      <c r="N99" s="267">
        <f>TB!AT91</f>
        <v>0</v>
      </c>
      <c r="O99" s="267">
        <f>TB!AV91</f>
        <v>38</v>
      </c>
      <c r="P99" s="267">
        <f t="shared" si="39"/>
        <v>0</v>
      </c>
      <c r="Q99" s="267">
        <f t="shared" si="40"/>
        <v>0</v>
      </c>
      <c r="R99" s="267" t="str">
        <f>TB!AU91</f>
        <v>x6</v>
      </c>
      <c r="S99" s="267">
        <f>COUNTIF(N$12:N99,N99)</f>
        <v>88</v>
      </c>
      <c r="T99" s="267">
        <v>1</v>
      </c>
      <c r="U99" s="267">
        <f t="shared" si="41"/>
        <v>200</v>
      </c>
      <c r="V99" s="267" t="str">
        <f t="shared" si="52"/>
        <v>Acorus Calamus0</v>
      </c>
      <c r="W99" s="267" t="str">
        <f t="shared" si="51"/>
        <v/>
      </c>
      <c r="X99" s="267" t="str">
        <f>IF(W99&lt;&gt;"",1+COUNT(X$12:X98),"")</f>
        <v/>
      </c>
      <c r="Y99" s="267" t="str">
        <f t="shared" si="42"/>
        <v/>
      </c>
      <c r="Z99" s="267" t="str">
        <f t="shared" si="43"/>
        <v/>
      </c>
      <c r="AA99" s="267" t="str">
        <f t="shared" si="44"/>
        <v/>
      </c>
      <c r="AB99" s="267" t="str">
        <f t="shared" si="45"/>
        <v/>
      </c>
      <c r="AC99" s="267" t="str">
        <f t="shared" si="46"/>
        <v/>
      </c>
      <c r="AD99" s="267" t="str">
        <f t="shared" si="47"/>
        <v/>
      </c>
      <c r="AE99" s="267" t="str">
        <f t="shared" si="48"/>
        <v/>
      </c>
      <c r="AF99" s="267">
        <f t="shared" si="49"/>
        <v>0</v>
      </c>
      <c r="AG99" s="267" t="str">
        <f t="shared" si="50"/>
        <v/>
      </c>
      <c r="AH99" s="267" t="str">
        <f>IFERROR(RANK(AG99,AG$12:AG$211,1)+COUNTIF(AG$12:AG99,AG99)-1,"")</f>
        <v/>
      </c>
      <c r="AM99" s="267">
        <v>88</v>
      </c>
      <c r="AN99" s="267">
        <v>102</v>
      </c>
    </row>
    <row r="100" spans="1:40" x14ac:dyDescent="0.25">
      <c r="A100" s="267">
        <v>89</v>
      </c>
      <c r="B100" s="299" t="str">
        <f t="shared" si="32"/>
        <v/>
      </c>
      <c r="C100" s="300" t="str">
        <f t="shared" si="33"/>
        <v/>
      </c>
      <c r="D100" s="301" t="str">
        <f t="shared" si="35"/>
        <v/>
      </c>
      <c r="E100" s="302" t="str">
        <f t="shared" si="53"/>
        <v/>
      </c>
      <c r="F100" s="303" t="str">
        <f t="shared" si="36"/>
        <v/>
      </c>
      <c r="G100" s="304" t="str">
        <f t="shared" si="37"/>
        <v/>
      </c>
      <c r="H100" s="305" t="str">
        <f t="shared" si="38"/>
        <v/>
      </c>
      <c r="I100" s="306"/>
      <c r="J100" s="307"/>
      <c r="L100" s="267" t="str">
        <f>TB!AG92</f>
        <v>Acorus Calamus</v>
      </c>
      <c r="M100" s="267" t="str">
        <f>TB!AD92</f>
        <v/>
      </c>
      <c r="N100" s="267">
        <f>TB!AT92</f>
        <v>0</v>
      </c>
      <c r="O100" s="267">
        <f>TB!AV92</f>
        <v>38</v>
      </c>
      <c r="P100" s="267">
        <f t="shared" si="39"/>
        <v>0</v>
      </c>
      <c r="Q100" s="267">
        <f t="shared" si="40"/>
        <v>0</v>
      </c>
      <c r="R100" s="267" t="str">
        <f>TB!AU92</f>
        <v>x6</v>
      </c>
      <c r="S100" s="267">
        <f>COUNTIF(N$12:N100,N100)</f>
        <v>89</v>
      </c>
      <c r="T100" s="267">
        <v>1</v>
      </c>
      <c r="U100" s="267">
        <f t="shared" si="41"/>
        <v>200</v>
      </c>
      <c r="V100" s="267" t="str">
        <f t="shared" si="52"/>
        <v>Acorus Calamus0</v>
      </c>
      <c r="W100" s="267" t="str">
        <f t="shared" si="51"/>
        <v/>
      </c>
      <c r="X100" s="267" t="str">
        <f>IF(W100&lt;&gt;"",1+COUNT(X$12:X99),"")</f>
        <v/>
      </c>
      <c r="Y100" s="267" t="str">
        <f t="shared" si="42"/>
        <v/>
      </c>
      <c r="Z100" s="267" t="str">
        <f t="shared" si="43"/>
        <v/>
      </c>
      <c r="AA100" s="267" t="str">
        <f t="shared" si="44"/>
        <v/>
      </c>
      <c r="AB100" s="267" t="str">
        <f t="shared" si="45"/>
        <v/>
      </c>
      <c r="AC100" s="267" t="str">
        <f t="shared" si="46"/>
        <v/>
      </c>
      <c r="AD100" s="267" t="str">
        <f t="shared" si="47"/>
        <v/>
      </c>
      <c r="AE100" s="267" t="str">
        <f t="shared" si="48"/>
        <v/>
      </c>
      <c r="AF100" s="267">
        <f t="shared" si="49"/>
        <v>0</v>
      </c>
      <c r="AG100" s="267" t="str">
        <f t="shared" si="50"/>
        <v/>
      </c>
      <c r="AH100" s="267" t="str">
        <f>IFERROR(RANK(AG100,AG$12:AG$211,1)+COUNTIF(AG$12:AG100,AG100)-1,"")</f>
        <v/>
      </c>
      <c r="AM100" s="267">
        <v>89</v>
      </c>
      <c r="AN100" s="267">
        <v>100</v>
      </c>
    </row>
    <row r="101" spans="1:40" x14ac:dyDescent="0.25">
      <c r="A101" s="267">
        <v>90</v>
      </c>
      <c r="B101" s="291" t="str">
        <f t="shared" si="32"/>
        <v/>
      </c>
      <c r="C101" s="292" t="str">
        <f t="shared" si="33"/>
        <v/>
      </c>
      <c r="D101" s="293" t="str">
        <f t="shared" si="35"/>
        <v/>
      </c>
      <c r="E101" s="294" t="str">
        <f t="shared" si="53"/>
        <v/>
      </c>
      <c r="F101" s="295" t="str">
        <f t="shared" si="36"/>
        <v/>
      </c>
      <c r="G101" s="281" t="str">
        <f t="shared" si="37"/>
        <v/>
      </c>
      <c r="H101" s="296" t="str">
        <f t="shared" si="38"/>
        <v/>
      </c>
      <c r="I101" s="297"/>
      <c r="J101" s="298"/>
      <c r="L101" s="267" t="str">
        <f>TB!AG93</f>
        <v>Acorus Calamus</v>
      </c>
      <c r="M101" s="267" t="str">
        <f>TB!AD93</f>
        <v/>
      </c>
      <c r="N101" s="267">
        <f>TB!AT93</f>
        <v>0</v>
      </c>
      <c r="O101" s="267">
        <f>TB!AV93</f>
        <v>38</v>
      </c>
      <c r="P101" s="267">
        <f t="shared" si="39"/>
        <v>0</v>
      </c>
      <c r="Q101" s="267">
        <f t="shared" si="40"/>
        <v>0</v>
      </c>
      <c r="R101" s="267" t="str">
        <f>TB!AU93</f>
        <v>x6</v>
      </c>
      <c r="S101" s="267">
        <f>COUNTIF(N$12:N101,N101)</f>
        <v>90</v>
      </c>
      <c r="T101" s="267">
        <v>1</v>
      </c>
      <c r="U101" s="267">
        <f t="shared" si="41"/>
        <v>200</v>
      </c>
      <c r="V101" s="267" t="str">
        <f t="shared" si="52"/>
        <v>Acorus Calamus0</v>
      </c>
      <c r="W101" s="267" t="str">
        <f t="shared" si="51"/>
        <v/>
      </c>
      <c r="X101" s="267" t="str">
        <f>IF(W101&lt;&gt;"",1+COUNT(X$12:X100),"")</f>
        <v/>
      </c>
      <c r="Y101" s="267" t="str">
        <f t="shared" si="42"/>
        <v/>
      </c>
      <c r="Z101" s="267" t="str">
        <f t="shared" si="43"/>
        <v/>
      </c>
      <c r="AA101" s="267" t="str">
        <f t="shared" si="44"/>
        <v/>
      </c>
      <c r="AB101" s="267" t="str">
        <f t="shared" si="45"/>
        <v/>
      </c>
      <c r="AC101" s="267" t="str">
        <f t="shared" si="46"/>
        <v/>
      </c>
      <c r="AD101" s="267" t="str">
        <f t="shared" si="47"/>
        <v/>
      </c>
      <c r="AE101" s="267" t="str">
        <f t="shared" si="48"/>
        <v/>
      </c>
      <c r="AF101" s="267">
        <f t="shared" si="49"/>
        <v>0</v>
      </c>
      <c r="AG101" s="267" t="str">
        <f t="shared" si="50"/>
        <v/>
      </c>
      <c r="AH101" s="267" t="str">
        <f>IFERROR(RANK(AG101,AG$12:AG$211,1)+COUNTIF(AG$12:AG101,AG101)-1,"")</f>
        <v/>
      </c>
      <c r="AM101" s="267">
        <v>90</v>
      </c>
      <c r="AN101" s="267">
        <v>98</v>
      </c>
    </row>
    <row r="102" spans="1:40" x14ac:dyDescent="0.25">
      <c r="A102" s="267">
        <v>91</v>
      </c>
      <c r="B102" s="299" t="str">
        <f t="shared" si="32"/>
        <v/>
      </c>
      <c r="C102" s="300" t="str">
        <f t="shared" si="33"/>
        <v/>
      </c>
      <c r="D102" s="301" t="str">
        <f t="shared" si="35"/>
        <v/>
      </c>
      <c r="E102" s="302" t="str">
        <f t="shared" si="53"/>
        <v/>
      </c>
      <c r="F102" s="303" t="str">
        <f t="shared" si="36"/>
        <v/>
      </c>
      <c r="G102" s="304" t="str">
        <f t="shared" si="37"/>
        <v/>
      </c>
      <c r="H102" s="305" t="str">
        <f t="shared" si="38"/>
        <v/>
      </c>
      <c r="I102" s="306"/>
      <c r="J102" s="307"/>
      <c r="L102" s="267" t="str">
        <f>TB!AG94</f>
        <v>Acorus Calamus</v>
      </c>
      <c r="M102" s="267" t="str">
        <f>TB!AD94</f>
        <v/>
      </c>
      <c r="N102" s="267">
        <f>TB!AT94</f>
        <v>0</v>
      </c>
      <c r="O102" s="267">
        <f>TB!AV94</f>
        <v>38</v>
      </c>
      <c r="P102" s="267">
        <f t="shared" si="39"/>
        <v>0</v>
      </c>
      <c r="Q102" s="267">
        <f t="shared" si="40"/>
        <v>0</v>
      </c>
      <c r="R102" s="267" t="str">
        <f>TB!AU94</f>
        <v>x6</v>
      </c>
      <c r="S102" s="267">
        <f>COUNTIF(N$12:N102,N102)</f>
        <v>91</v>
      </c>
      <c r="T102" s="267">
        <v>1</v>
      </c>
      <c r="U102" s="267">
        <f t="shared" si="41"/>
        <v>200</v>
      </c>
      <c r="V102" s="267" t="str">
        <f t="shared" si="52"/>
        <v>Acorus Calamus0</v>
      </c>
      <c r="W102" s="267" t="str">
        <f t="shared" si="51"/>
        <v/>
      </c>
      <c r="X102" s="267" t="str">
        <f>IF(W102&lt;&gt;"",1+COUNT(X$12:X101),"")</f>
        <v/>
      </c>
      <c r="Y102" s="267" t="str">
        <f t="shared" si="42"/>
        <v/>
      </c>
      <c r="Z102" s="267" t="str">
        <f t="shared" si="43"/>
        <v/>
      </c>
      <c r="AA102" s="267" t="str">
        <f t="shared" si="44"/>
        <v/>
      </c>
      <c r="AB102" s="267" t="str">
        <f t="shared" si="45"/>
        <v/>
      </c>
      <c r="AC102" s="267" t="str">
        <f t="shared" si="46"/>
        <v/>
      </c>
      <c r="AD102" s="267" t="str">
        <f t="shared" si="47"/>
        <v/>
      </c>
      <c r="AE102" s="267" t="str">
        <f t="shared" si="48"/>
        <v/>
      </c>
      <c r="AF102" s="267">
        <f t="shared" si="49"/>
        <v>0</v>
      </c>
      <c r="AG102" s="267" t="str">
        <f t="shared" si="50"/>
        <v/>
      </c>
      <c r="AH102" s="267" t="str">
        <f>IFERROR(RANK(AG102,AG$12:AG$211,1)+COUNTIF(AG$12:AG102,AG102)-1,"")</f>
        <v/>
      </c>
      <c r="AM102" s="267">
        <v>91</v>
      </c>
      <c r="AN102" s="267">
        <v>96</v>
      </c>
    </row>
    <row r="103" spans="1:40" x14ac:dyDescent="0.25">
      <c r="A103" s="267">
        <v>92</v>
      </c>
      <c r="B103" s="291" t="str">
        <f t="shared" si="32"/>
        <v/>
      </c>
      <c r="C103" s="292" t="str">
        <f t="shared" si="33"/>
        <v/>
      </c>
      <c r="D103" s="293" t="str">
        <f t="shared" si="35"/>
        <v/>
      </c>
      <c r="E103" s="294" t="str">
        <f t="shared" si="53"/>
        <v/>
      </c>
      <c r="F103" s="295" t="str">
        <f t="shared" si="36"/>
        <v/>
      </c>
      <c r="G103" s="281" t="str">
        <f t="shared" si="37"/>
        <v/>
      </c>
      <c r="H103" s="296" t="str">
        <f t="shared" si="38"/>
        <v/>
      </c>
      <c r="I103" s="297"/>
      <c r="J103" s="298"/>
      <c r="L103" s="267" t="str">
        <f>TB!AG95</f>
        <v>Acorus Calamus</v>
      </c>
      <c r="M103" s="267" t="str">
        <f>TB!AD95</f>
        <v/>
      </c>
      <c r="N103" s="267">
        <f>TB!AT95</f>
        <v>0</v>
      </c>
      <c r="O103" s="267">
        <f>TB!AV95</f>
        <v>38</v>
      </c>
      <c r="P103" s="267">
        <f t="shared" si="39"/>
        <v>0</v>
      </c>
      <c r="Q103" s="267">
        <f t="shared" si="40"/>
        <v>0</v>
      </c>
      <c r="R103" s="267" t="str">
        <f>TB!AU95</f>
        <v>x6</v>
      </c>
      <c r="S103" s="267">
        <f>COUNTIF(N$12:N103,N103)</f>
        <v>92</v>
      </c>
      <c r="T103" s="267">
        <v>1</v>
      </c>
      <c r="U103" s="267">
        <f t="shared" si="41"/>
        <v>200</v>
      </c>
      <c r="V103" s="267" t="str">
        <f t="shared" si="52"/>
        <v>Acorus Calamus0</v>
      </c>
      <c r="W103" s="267" t="str">
        <f t="shared" si="51"/>
        <v/>
      </c>
      <c r="X103" s="267" t="str">
        <f>IF(W103&lt;&gt;"",1+COUNT(X$12:X102),"")</f>
        <v/>
      </c>
      <c r="Y103" s="267" t="str">
        <f t="shared" si="42"/>
        <v/>
      </c>
      <c r="Z103" s="267" t="str">
        <f t="shared" si="43"/>
        <v/>
      </c>
      <c r="AA103" s="267" t="str">
        <f t="shared" si="44"/>
        <v/>
      </c>
      <c r="AB103" s="267" t="str">
        <f t="shared" si="45"/>
        <v/>
      </c>
      <c r="AC103" s="267" t="str">
        <f t="shared" si="46"/>
        <v/>
      </c>
      <c r="AD103" s="267" t="str">
        <f t="shared" si="47"/>
        <v/>
      </c>
      <c r="AE103" s="267" t="str">
        <f t="shared" si="48"/>
        <v/>
      </c>
      <c r="AF103" s="267">
        <f t="shared" si="49"/>
        <v>0</v>
      </c>
      <c r="AG103" s="267" t="str">
        <f t="shared" si="50"/>
        <v/>
      </c>
      <c r="AH103" s="267" t="str">
        <f>IFERROR(RANK(AG103,AG$12:AG$211,1)+COUNTIF(AG$12:AG103,AG103)-1,"")</f>
        <v/>
      </c>
      <c r="AM103" s="267">
        <v>92</v>
      </c>
      <c r="AN103" s="267">
        <v>94</v>
      </c>
    </row>
    <row r="104" spans="1:40" x14ac:dyDescent="0.25">
      <c r="A104" s="267">
        <v>93</v>
      </c>
      <c r="B104" s="291" t="str">
        <f t="shared" si="32"/>
        <v/>
      </c>
      <c r="C104" s="292" t="str">
        <f t="shared" si="33"/>
        <v/>
      </c>
      <c r="D104" s="293" t="str">
        <f t="shared" si="35"/>
        <v/>
      </c>
      <c r="E104" s="294" t="str">
        <f t="shared" si="53"/>
        <v/>
      </c>
      <c r="F104" s="295" t="str">
        <f t="shared" si="36"/>
        <v/>
      </c>
      <c r="G104" s="281" t="str">
        <f t="shared" si="37"/>
        <v/>
      </c>
      <c r="H104" s="296" t="str">
        <f t="shared" si="38"/>
        <v/>
      </c>
      <c r="I104" s="297"/>
      <c r="J104" s="298"/>
      <c r="L104" s="267" t="str">
        <f>TB!AG96</f>
        <v>Acorus Calamus</v>
      </c>
      <c r="M104" s="267" t="str">
        <f>TB!AD96</f>
        <v/>
      </c>
      <c r="N104" s="267">
        <f>TB!AT96</f>
        <v>0</v>
      </c>
      <c r="O104" s="267">
        <f>TB!AV96</f>
        <v>38</v>
      </c>
      <c r="P104" s="267">
        <f t="shared" si="39"/>
        <v>0</v>
      </c>
      <c r="Q104" s="267">
        <f t="shared" si="40"/>
        <v>0</v>
      </c>
      <c r="R104" s="267" t="str">
        <f>TB!AU96</f>
        <v>x6</v>
      </c>
      <c r="S104" s="267">
        <f>COUNTIF(N$12:N104,N104)</f>
        <v>93</v>
      </c>
      <c r="T104" s="267">
        <v>1</v>
      </c>
      <c r="U104" s="267">
        <f t="shared" si="41"/>
        <v>200</v>
      </c>
      <c r="V104" s="267" t="str">
        <f t="shared" si="52"/>
        <v>Acorus Calamus0</v>
      </c>
      <c r="W104" s="267" t="str">
        <f t="shared" si="51"/>
        <v/>
      </c>
      <c r="X104" s="267" t="str">
        <f>IF(W104&lt;&gt;"",1+COUNT(X$12:X103),"")</f>
        <v/>
      </c>
      <c r="Y104" s="267" t="str">
        <f t="shared" si="42"/>
        <v/>
      </c>
      <c r="Z104" s="267" t="str">
        <f t="shared" si="43"/>
        <v/>
      </c>
      <c r="AA104" s="267" t="str">
        <f t="shared" si="44"/>
        <v/>
      </c>
      <c r="AB104" s="267" t="str">
        <f t="shared" si="45"/>
        <v/>
      </c>
      <c r="AC104" s="267" t="str">
        <f t="shared" si="46"/>
        <v/>
      </c>
      <c r="AD104" s="267" t="str">
        <f t="shared" si="47"/>
        <v/>
      </c>
      <c r="AE104" s="267" t="str">
        <f t="shared" si="48"/>
        <v/>
      </c>
      <c r="AF104" s="267">
        <f t="shared" si="49"/>
        <v>0</v>
      </c>
      <c r="AG104" s="267" t="str">
        <f t="shared" si="50"/>
        <v/>
      </c>
      <c r="AH104" s="267" t="str">
        <f>IFERROR(RANK(AG104,AG$12:AG$211,1)+COUNTIF(AG$12:AG104,AG104)-1,"")</f>
        <v/>
      </c>
      <c r="AM104" s="267">
        <v>93</v>
      </c>
      <c r="AN104" s="267">
        <v>92</v>
      </c>
    </row>
    <row r="105" spans="1:40" x14ac:dyDescent="0.25">
      <c r="A105" s="267">
        <v>94</v>
      </c>
      <c r="B105" s="291" t="str">
        <f t="shared" si="32"/>
        <v/>
      </c>
      <c r="C105" s="292" t="str">
        <f t="shared" si="33"/>
        <v/>
      </c>
      <c r="D105" s="293" t="str">
        <f t="shared" si="35"/>
        <v/>
      </c>
      <c r="E105" s="294" t="str">
        <f t="shared" si="53"/>
        <v/>
      </c>
      <c r="F105" s="295" t="str">
        <f t="shared" si="36"/>
        <v/>
      </c>
      <c r="G105" s="281" t="str">
        <f t="shared" si="37"/>
        <v/>
      </c>
      <c r="H105" s="296" t="str">
        <f t="shared" si="38"/>
        <v/>
      </c>
      <c r="I105" s="297"/>
      <c r="J105" s="298"/>
      <c r="L105" s="267" t="str">
        <f>TB!AG97</f>
        <v>Acorus Calamus</v>
      </c>
      <c r="M105" s="267" t="str">
        <f>TB!AD97</f>
        <v/>
      </c>
      <c r="N105" s="267">
        <f>TB!AT97</f>
        <v>0</v>
      </c>
      <c r="O105" s="267">
        <f>TB!AV97</f>
        <v>38</v>
      </c>
      <c r="P105" s="267">
        <f t="shared" si="39"/>
        <v>0</v>
      </c>
      <c r="Q105" s="267">
        <f t="shared" si="40"/>
        <v>0</v>
      </c>
      <c r="R105" s="267" t="str">
        <f>TB!AU97</f>
        <v>x6</v>
      </c>
      <c r="S105" s="267">
        <f>COUNTIF(N$12:N105,N105)</f>
        <v>94</v>
      </c>
      <c r="T105" s="267">
        <v>1</v>
      </c>
      <c r="U105" s="267">
        <f t="shared" si="41"/>
        <v>200</v>
      </c>
      <c r="V105" s="267" t="str">
        <f t="shared" si="52"/>
        <v>Acorus Calamus0</v>
      </c>
      <c r="W105" s="267" t="str">
        <f t="shared" si="51"/>
        <v/>
      </c>
      <c r="X105" s="267" t="str">
        <f>IF(W105&lt;&gt;"",1+COUNT(X$12:X104),"")</f>
        <v/>
      </c>
      <c r="Y105" s="267" t="str">
        <f t="shared" si="42"/>
        <v/>
      </c>
      <c r="Z105" s="267" t="str">
        <f t="shared" si="43"/>
        <v/>
      </c>
      <c r="AA105" s="267" t="str">
        <f t="shared" si="44"/>
        <v/>
      </c>
      <c r="AB105" s="267" t="str">
        <f t="shared" si="45"/>
        <v/>
      </c>
      <c r="AC105" s="267" t="str">
        <f t="shared" si="46"/>
        <v/>
      </c>
      <c r="AD105" s="267" t="str">
        <f t="shared" si="47"/>
        <v/>
      </c>
      <c r="AE105" s="267" t="str">
        <f t="shared" si="48"/>
        <v/>
      </c>
      <c r="AF105" s="267">
        <f t="shared" si="49"/>
        <v>0</v>
      </c>
      <c r="AG105" s="267" t="str">
        <f t="shared" si="50"/>
        <v/>
      </c>
      <c r="AH105" s="267" t="str">
        <f>IFERROR(RANK(AG105,AG$12:AG$211,1)+COUNTIF(AG$12:AG105,AG105)-1,"")</f>
        <v/>
      </c>
      <c r="AM105" s="267">
        <v>94</v>
      </c>
      <c r="AN105" s="267">
        <v>90</v>
      </c>
    </row>
    <row r="106" spans="1:40" x14ac:dyDescent="0.25">
      <c r="A106" s="267">
        <v>95</v>
      </c>
      <c r="B106" s="291" t="str">
        <f t="shared" si="32"/>
        <v/>
      </c>
      <c r="C106" s="292" t="str">
        <f t="shared" si="33"/>
        <v/>
      </c>
      <c r="D106" s="293" t="str">
        <f t="shared" si="35"/>
        <v/>
      </c>
      <c r="E106" s="294" t="str">
        <f t="shared" si="53"/>
        <v/>
      </c>
      <c r="F106" s="295" t="str">
        <f t="shared" si="36"/>
        <v/>
      </c>
      <c r="G106" s="281" t="str">
        <f t="shared" si="37"/>
        <v/>
      </c>
      <c r="H106" s="296" t="str">
        <f t="shared" si="38"/>
        <v/>
      </c>
      <c r="I106" s="297"/>
      <c r="J106" s="298"/>
      <c r="L106" s="267" t="str">
        <f>TB!AG98</f>
        <v>Acorus Calamus</v>
      </c>
      <c r="M106" s="267" t="str">
        <f>TB!AD98</f>
        <v/>
      </c>
      <c r="N106" s="267">
        <f>TB!AT98</f>
        <v>0</v>
      </c>
      <c r="O106" s="267">
        <f>TB!AV98</f>
        <v>38</v>
      </c>
      <c r="P106" s="267">
        <f t="shared" si="39"/>
        <v>0</v>
      </c>
      <c r="Q106" s="267">
        <f t="shared" si="40"/>
        <v>0</v>
      </c>
      <c r="R106" s="267" t="str">
        <f>TB!AU98</f>
        <v>x6</v>
      </c>
      <c r="S106" s="267">
        <f>COUNTIF(N$12:N106,N106)</f>
        <v>95</v>
      </c>
      <c r="T106" s="267">
        <v>1</v>
      </c>
      <c r="U106" s="267">
        <f t="shared" si="41"/>
        <v>200</v>
      </c>
      <c r="V106" s="267" t="str">
        <f t="shared" si="52"/>
        <v>Acorus Calamus0</v>
      </c>
      <c r="W106" s="267" t="str">
        <f t="shared" si="51"/>
        <v/>
      </c>
      <c r="X106" s="267" t="str">
        <f>IF(W106&lt;&gt;"",1+COUNT(X$12:X105),"")</f>
        <v/>
      </c>
      <c r="Y106" s="267" t="str">
        <f t="shared" si="42"/>
        <v/>
      </c>
      <c r="Z106" s="267" t="str">
        <f t="shared" si="43"/>
        <v/>
      </c>
      <c r="AA106" s="267" t="str">
        <f t="shared" si="44"/>
        <v/>
      </c>
      <c r="AB106" s="267" t="str">
        <f t="shared" si="45"/>
        <v/>
      </c>
      <c r="AC106" s="267" t="str">
        <f t="shared" si="46"/>
        <v/>
      </c>
      <c r="AD106" s="267" t="str">
        <f t="shared" si="47"/>
        <v/>
      </c>
      <c r="AE106" s="267" t="str">
        <f t="shared" si="48"/>
        <v/>
      </c>
      <c r="AF106" s="267">
        <f t="shared" si="49"/>
        <v>0</v>
      </c>
      <c r="AG106" s="267" t="str">
        <f t="shared" si="50"/>
        <v/>
      </c>
      <c r="AH106" s="267" t="str">
        <f>IFERROR(RANK(AG106,AG$12:AG$211,1)+COUNTIF(AG$12:AG106,AG106)-1,"")</f>
        <v/>
      </c>
      <c r="AM106" s="267">
        <v>95</v>
      </c>
      <c r="AN106" s="267">
        <v>88</v>
      </c>
    </row>
    <row r="107" spans="1:40" x14ac:dyDescent="0.25">
      <c r="A107" s="267">
        <v>96</v>
      </c>
      <c r="B107" s="291" t="str">
        <f t="shared" si="32"/>
        <v/>
      </c>
      <c r="C107" s="292" t="str">
        <f t="shared" si="33"/>
        <v/>
      </c>
      <c r="D107" s="293" t="str">
        <f t="shared" si="35"/>
        <v/>
      </c>
      <c r="E107" s="294" t="str">
        <f t="shared" si="53"/>
        <v/>
      </c>
      <c r="F107" s="295" t="str">
        <f t="shared" si="36"/>
        <v/>
      </c>
      <c r="G107" s="281" t="str">
        <f t="shared" si="37"/>
        <v/>
      </c>
      <c r="H107" s="296" t="str">
        <f t="shared" si="38"/>
        <v/>
      </c>
      <c r="I107" s="297"/>
      <c r="J107" s="298"/>
      <c r="L107" s="267" t="str">
        <f>TB!AG99</f>
        <v>Acorus Calamus</v>
      </c>
      <c r="M107" s="267" t="str">
        <f>TB!AD99</f>
        <v/>
      </c>
      <c r="N107" s="267">
        <f>TB!AT99</f>
        <v>0</v>
      </c>
      <c r="O107" s="267">
        <f>TB!AV99</f>
        <v>38</v>
      </c>
      <c r="P107" s="267">
        <f t="shared" si="39"/>
        <v>0</v>
      </c>
      <c r="Q107" s="267">
        <f t="shared" si="40"/>
        <v>0</v>
      </c>
      <c r="R107" s="267" t="str">
        <f>TB!AU99</f>
        <v>x6</v>
      </c>
      <c r="S107" s="267">
        <f>COUNTIF(N$12:N107,N107)</f>
        <v>96</v>
      </c>
      <c r="T107" s="267">
        <v>1</v>
      </c>
      <c r="U107" s="267">
        <f t="shared" si="41"/>
        <v>200</v>
      </c>
      <c r="V107" s="267" t="str">
        <f t="shared" si="52"/>
        <v>Acorus Calamus0</v>
      </c>
      <c r="W107" s="267" t="str">
        <f t="shared" si="51"/>
        <v/>
      </c>
      <c r="X107" s="267" t="str">
        <f>IF(W107&lt;&gt;"",1+COUNT(X$12:X106),"")</f>
        <v/>
      </c>
      <c r="Y107" s="267" t="str">
        <f t="shared" si="42"/>
        <v/>
      </c>
      <c r="Z107" s="267" t="str">
        <f t="shared" si="43"/>
        <v/>
      </c>
      <c r="AA107" s="267" t="str">
        <f t="shared" si="44"/>
        <v/>
      </c>
      <c r="AB107" s="267" t="str">
        <f t="shared" si="45"/>
        <v/>
      </c>
      <c r="AC107" s="267" t="str">
        <f t="shared" si="46"/>
        <v/>
      </c>
      <c r="AD107" s="267" t="str">
        <f t="shared" si="47"/>
        <v/>
      </c>
      <c r="AE107" s="267" t="str">
        <f t="shared" si="48"/>
        <v/>
      </c>
      <c r="AF107" s="267">
        <f t="shared" si="49"/>
        <v>0</v>
      </c>
      <c r="AG107" s="267" t="str">
        <f t="shared" si="50"/>
        <v/>
      </c>
      <c r="AH107" s="267" t="str">
        <f>IFERROR(RANK(AG107,AG$12:AG$211,1)+COUNTIF(AG$12:AG107,AG107)-1,"")</f>
        <v/>
      </c>
      <c r="AM107" s="267">
        <v>96</v>
      </c>
      <c r="AN107" s="267">
        <v>86</v>
      </c>
    </row>
    <row r="108" spans="1:40" x14ac:dyDescent="0.25">
      <c r="A108" s="267">
        <v>97</v>
      </c>
      <c r="B108" s="291" t="str">
        <f t="shared" ref="B108:B139" si="54">_xlfn.SINGLE(_xlfn.XLOOKUP(A108,AH$12:AH$211,Z$12:Z$211,""))</f>
        <v/>
      </c>
      <c r="C108" s="292" t="str">
        <f t="shared" ref="C108:C139" si="55">_xlfn.SINGLE(_xlfn.XLOOKUP(A108,AH$12:AH$211,AE$12:AE$211,""))</f>
        <v/>
      </c>
      <c r="D108" s="293" t="str">
        <f t="shared" si="35"/>
        <v/>
      </c>
      <c r="E108" s="294" t="str">
        <f t="shared" si="53"/>
        <v/>
      </c>
      <c r="F108" s="295" t="str">
        <f t="shared" si="36"/>
        <v/>
      </c>
      <c r="G108" s="281" t="str">
        <f t="shared" si="37"/>
        <v/>
      </c>
      <c r="H108" s="296" t="str">
        <f t="shared" si="38"/>
        <v/>
      </c>
      <c r="I108" s="297"/>
      <c r="J108" s="298"/>
      <c r="L108" s="267" t="str">
        <f>TB!AG100</f>
        <v>Acorus Calamus</v>
      </c>
      <c r="M108" s="267" t="str">
        <f>TB!AD100</f>
        <v/>
      </c>
      <c r="N108" s="267">
        <f>TB!AT100</f>
        <v>0</v>
      </c>
      <c r="O108" s="267">
        <f>TB!AV100</f>
        <v>38</v>
      </c>
      <c r="P108" s="267">
        <f t="shared" si="39"/>
        <v>0</v>
      </c>
      <c r="Q108" s="267">
        <f t="shared" si="40"/>
        <v>0</v>
      </c>
      <c r="R108" s="267" t="str">
        <f>TB!AU100</f>
        <v>x6</v>
      </c>
      <c r="S108" s="267">
        <f>COUNTIF(N$12:N108,N108)</f>
        <v>97</v>
      </c>
      <c r="T108" s="267">
        <v>1</v>
      </c>
      <c r="U108" s="267">
        <f t="shared" si="41"/>
        <v>200</v>
      </c>
      <c r="V108" s="267" t="str">
        <f t="shared" si="52"/>
        <v>Acorus Calamus0</v>
      </c>
      <c r="W108" s="267" t="str">
        <f t="shared" si="51"/>
        <v/>
      </c>
      <c r="X108" s="267" t="str">
        <f>IF(W108&lt;&gt;"",1+COUNT(X$12:X107),"")</f>
        <v/>
      </c>
      <c r="Y108" s="267" t="str">
        <f t="shared" si="42"/>
        <v/>
      </c>
      <c r="Z108" s="267" t="str">
        <f t="shared" si="43"/>
        <v/>
      </c>
      <c r="AA108" s="267" t="str">
        <f t="shared" si="44"/>
        <v/>
      </c>
      <c r="AB108" s="267" t="str">
        <f t="shared" si="45"/>
        <v/>
      </c>
      <c r="AC108" s="267" t="str">
        <f t="shared" si="46"/>
        <v/>
      </c>
      <c r="AD108" s="267" t="str">
        <f t="shared" si="47"/>
        <v/>
      </c>
      <c r="AE108" s="267" t="str">
        <f t="shared" si="48"/>
        <v/>
      </c>
      <c r="AF108" s="267">
        <f t="shared" si="49"/>
        <v>0</v>
      </c>
      <c r="AG108" s="267" t="str">
        <f t="shared" si="50"/>
        <v/>
      </c>
      <c r="AH108" s="267" t="str">
        <f>IFERROR(RANK(AG108,AG$12:AG$211,1)+COUNTIF(AG$12:AG108,AG108)-1,"")</f>
        <v/>
      </c>
      <c r="AM108" s="267">
        <v>97</v>
      </c>
      <c r="AN108" s="267">
        <v>84</v>
      </c>
    </row>
    <row r="109" spans="1:40" x14ac:dyDescent="0.25">
      <c r="A109" s="267">
        <v>98</v>
      </c>
      <c r="B109" s="291" t="str">
        <f t="shared" si="54"/>
        <v/>
      </c>
      <c r="C109" s="292" t="str">
        <f t="shared" si="55"/>
        <v/>
      </c>
      <c r="D109" s="293" t="str">
        <f t="shared" ref="D109:D140" si="56">_xlfn.SINGLE(_xlfn.XLOOKUP(A109,AH$12:AH$211,Y$12:Y$211,""))</f>
        <v/>
      </c>
      <c r="E109" s="294" t="str">
        <f t="shared" si="53"/>
        <v/>
      </c>
      <c r="F109" s="295" t="str">
        <f t="shared" ref="F109:F140" si="57">_xlfn.SINGLE(_xlfn.XLOOKUP(A109,AH$12:AH$211,AB$12:AB$211,""))</f>
        <v/>
      </c>
      <c r="G109" s="281" t="str">
        <f t="shared" ref="G109:G140" si="58">_xlfn.SINGLE(_xlfn.XLOOKUP(A109,AH$12:AH$211,AC$12:AC$211,""))</f>
        <v/>
      </c>
      <c r="H109" s="296" t="str">
        <f t="shared" ref="H109:H140" si="59">_xlfn.SINGLE(_xlfn.XLOOKUP(A109,AH$12:AH$211,AD$12:AD$211,""))</f>
        <v/>
      </c>
      <c r="I109" s="297"/>
      <c r="J109" s="298"/>
      <c r="L109" s="267" t="str">
        <f>TB!AG101</f>
        <v>Acorus Calamus</v>
      </c>
      <c r="M109" s="267" t="str">
        <f>TB!AD101</f>
        <v/>
      </c>
      <c r="N109" s="267">
        <f>TB!AT101</f>
        <v>0</v>
      </c>
      <c r="O109" s="267">
        <f>TB!AV101</f>
        <v>38</v>
      </c>
      <c r="P109" s="267">
        <f t="shared" si="39"/>
        <v>0</v>
      </c>
      <c r="Q109" s="267">
        <f t="shared" si="40"/>
        <v>0</v>
      </c>
      <c r="R109" s="267" t="str">
        <f>TB!AU101</f>
        <v>x6</v>
      </c>
      <c r="S109" s="267">
        <f>COUNTIF(N$12:N109,N109)</f>
        <v>98</v>
      </c>
      <c r="T109" s="267">
        <v>1</v>
      </c>
      <c r="U109" s="267">
        <f t="shared" si="41"/>
        <v>200</v>
      </c>
      <c r="V109" s="267" t="str">
        <f t="shared" si="52"/>
        <v>Acorus Calamus0</v>
      </c>
      <c r="W109" s="267" t="str">
        <f t="shared" si="51"/>
        <v/>
      </c>
      <c r="X109" s="267" t="str">
        <f>IF(W109&lt;&gt;"",1+COUNT(X$12:X108),"")</f>
        <v/>
      </c>
      <c r="Y109" s="267" t="str">
        <f t="shared" si="42"/>
        <v/>
      </c>
      <c r="Z109" s="267" t="str">
        <f t="shared" si="43"/>
        <v/>
      </c>
      <c r="AA109" s="267" t="str">
        <f t="shared" si="44"/>
        <v/>
      </c>
      <c r="AB109" s="267" t="str">
        <f t="shared" si="45"/>
        <v/>
      </c>
      <c r="AC109" s="267" t="str">
        <f t="shared" si="46"/>
        <v/>
      </c>
      <c r="AD109" s="267" t="str">
        <f t="shared" si="47"/>
        <v/>
      </c>
      <c r="AE109" s="267" t="str">
        <f t="shared" si="48"/>
        <v/>
      </c>
      <c r="AF109" s="267">
        <f t="shared" ref="AF109:AF140" si="60">_xlfn.SINGLE(_xlfn.XLOOKUP(AE109,AM$12:AM$122,AN$12:AN$122,0))</f>
        <v>0</v>
      </c>
      <c r="AG109" s="267" t="str">
        <f t="shared" si="50"/>
        <v/>
      </c>
      <c r="AH109" s="267" t="str">
        <f>IFERROR(RANK(AG109,AG$12:AG$211,1)+COUNTIF(AG$12:AG109,AG109)-1,"")</f>
        <v/>
      </c>
      <c r="AM109" s="267">
        <v>98</v>
      </c>
      <c r="AN109" s="267">
        <v>82</v>
      </c>
    </row>
    <row r="110" spans="1:40" x14ac:dyDescent="0.25">
      <c r="A110" s="267">
        <v>99</v>
      </c>
      <c r="B110" s="291" t="str">
        <f t="shared" si="54"/>
        <v/>
      </c>
      <c r="C110" s="292" t="str">
        <f t="shared" si="55"/>
        <v/>
      </c>
      <c r="D110" s="293" t="str">
        <f t="shared" si="56"/>
        <v/>
      </c>
      <c r="E110" s="294" t="str">
        <f t="shared" si="53"/>
        <v/>
      </c>
      <c r="F110" s="295" t="str">
        <f t="shared" si="57"/>
        <v/>
      </c>
      <c r="G110" s="281" t="str">
        <f t="shared" si="58"/>
        <v/>
      </c>
      <c r="H110" s="296" t="str">
        <f t="shared" si="59"/>
        <v/>
      </c>
      <c r="I110" s="297"/>
      <c r="J110" s="298"/>
      <c r="L110" s="267" t="str">
        <f>TB!AG102</f>
        <v>Acorus Calamus</v>
      </c>
      <c r="M110" s="267" t="str">
        <f>TB!AD102</f>
        <v/>
      </c>
      <c r="N110" s="267">
        <f>TB!AT102</f>
        <v>0</v>
      </c>
      <c r="O110" s="267">
        <f>TB!AV102</f>
        <v>38</v>
      </c>
      <c r="P110" s="267">
        <f t="shared" si="39"/>
        <v>0</v>
      </c>
      <c r="Q110" s="267">
        <f t="shared" si="40"/>
        <v>0</v>
      </c>
      <c r="R110" s="267" t="str">
        <f>TB!AU102</f>
        <v>x6</v>
      </c>
      <c r="S110" s="267">
        <f>COUNTIF(N$12:N110,N110)</f>
        <v>99</v>
      </c>
      <c r="T110" s="267">
        <v>1</v>
      </c>
      <c r="U110" s="267">
        <f t="shared" si="41"/>
        <v>200</v>
      </c>
      <c r="V110" s="267" t="str">
        <f t="shared" si="52"/>
        <v>Acorus Calamus0</v>
      </c>
      <c r="W110" s="267" t="str">
        <f t="shared" si="51"/>
        <v/>
      </c>
      <c r="X110" s="267" t="str">
        <f>IF(W110&lt;&gt;"",1+COUNT(X$12:X109),"")</f>
        <v/>
      </c>
      <c r="Y110" s="267" t="str">
        <f t="shared" si="42"/>
        <v/>
      </c>
      <c r="Z110" s="267" t="str">
        <f t="shared" si="43"/>
        <v/>
      </c>
      <c r="AA110" s="267" t="str">
        <f t="shared" si="44"/>
        <v/>
      </c>
      <c r="AB110" s="267" t="str">
        <f t="shared" si="45"/>
        <v/>
      </c>
      <c r="AC110" s="267" t="str">
        <f t="shared" si="46"/>
        <v/>
      </c>
      <c r="AD110" s="267" t="str">
        <f t="shared" si="47"/>
        <v/>
      </c>
      <c r="AE110" s="267" t="str">
        <f t="shared" si="48"/>
        <v/>
      </c>
      <c r="AF110" s="267">
        <f t="shared" si="60"/>
        <v>0</v>
      </c>
      <c r="AG110" s="267" t="str">
        <f t="shared" si="50"/>
        <v/>
      </c>
      <c r="AH110" s="267" t="str">
        <f>IFERROR(RANK(AG110,AG$12:AG$211,1)+COUNTIF(AG$12:AG110,AG110)-1,"")</f>
        <v/>
      </c>
      <c r="AM110" s="267">
        <v>99</v>
      </c>
      <c r="AN110" s="267">
        <v>80</v>
      </c>
    </row>
    <row r="111" spans="1:40" x14ac:dyDescent="0.25">
      <c r="A111" s="267">
        <v>100</v>
      </c>
      <c r="B111" s="291" t="str">
        <f t="shared" si="54"/>
        <v/>
      </c>
      <c r="C111" s="292" t="str">
        <f t="shared" si="55"/>
        <v/>
      </c>
      <c r="D111" s="293" t="str">
        <f t="shared" si="56"/>
        <v/>
      </c>
      <c r="E111" s="294" t="str">
        <f t="shared" si="53"/>
        <v/>
      </c>
      <c r="F111" s="295" t="str">
        <f t="shared" si="57"/>
        <v/>
      </c>
      <c r="G111" s="281" t="str">
        <f t="shared" si="58"/>
        <v/>
      </c>
      <c r="H111" s="296" t="str">
        <f t="shared" si="59"/>
        <v/>
      </c>
      <c r="I111" s="297"/>
      <c r="J111" s="298"/>
      <c r="L111" s="267" t="str">
        <f>TB!AG103</f>
        <v>Acorus Calamus</v>
      </c>
      <c r="M111" s="267" t="str">
        <f>TB!AD103</f>
        <v/>
      </c>
      <c r="N111" s="267">
        <f>TB!AT103</f>
        <v>0</v>
      </c>
      <c r="O111" s="267">
        <f>TB!AV103</f>
        <v>38</v>
      </c>
      <c r="P111" s="267">
        <f t="shared" si="39"/>
        <v>0</v>
      </c>
      <c r="Q111" s="267">
        <f t="shared" si="40"/>
        <v>0</v>
      </c>
      <c r="R111" s="267" t="str">
        <f>TB!AU103</f>
        <v>x6</v>
      </c>
      <c r="S111" s="267">
        <f>COUNTIF(N$12:N111,N111)</f>
        <v>100</v>
      </c>
      <c r="T111" s="267">
        <v>1</v>
      </c>
      <c r="U111" s="267">
        <f t="shared" si="41"/>
        <v>200</v>
      </c>
      <c r="V111" s="267" t="str">
        <f t="shared" si="52"/>
        <v>Acorus Calamus0</v>
      </c>
      <c r="W111" s="267" t="str">
        <f t="shared" si="51"/>
        <v/>
      </c>
      <c r="X111" s="267" t="str">
        <f>IF(W111&lt;&gt;"",1+COUNT(X$12:X110),"")</f>
        <v/>
      </c>
      <c r="Y111" s="267" t="str">
        <f t="shared" si="42"/>
        <v/>
      </c>
      <c r="Z111" s="267" t="str">
        <f t="shared" si="43"/>
        <v/>
      </c>
      <c r="AA111" s="267" t="str">
        <f t="shared" si="44"/>
        <v/>
      </c>
      <c r="AB111" s="267" t="str">
        <f t="shared" si="45"/>
        <v/>
      </c>
      <c r="AC111" s="267" t="str">
        <f t="shared" si="46"/>
        <v/>
      </c>
      <c r="AD111" s="267" t="str">
        <f t="shared" si="47"/>
        <v/>
      </c>
      <c r="AE111" s="267" t="str">
        <f t="shared" si="48"/>
        <v/>
      </c>
      <c r="AF111" s="267">
        <f t="shared" si="60"/>
        <v>0</v>
      </c>
      <c r="AG111" s="267" t="str">
        <f t="shared" si="50"/>
        <v/>
      </c>
      <c r="AH111" s="267" t="str">
        <f>IFERROR(RANK(AG111,AG$12:AG$211,1)+COUNTIF(AG$12:AG111,AG111)-1,"")</f>
        <v/>
      </c>
      <c r="AM111" s="267">
        <v>100</v>
      </c>
      <c r="AN111" s="267">
        <v>78</v>
      </c>
    </row>
    <row r="112" spans="1:40" x14ac:dyDescent="0.25">
      <c r="A112" s="267">
        <v>101</v>
      </c>
      <c r="B112" s="291" t="str">
        <f t="shared" si="54"/>
        <v/>
      </c>
      <c r="C112" s="292" t="str">
        <f t="shared" si="55"/>
        <v/>
      </c>
      <c r="D112" s="293" t="str">
        <f t="shared" si="56"/>
        <v/>
      </c>
      <c r="E112" s="294" t="str">
        <f t="shared" si="53"/>
        <v/>
      </c>
      <c r="F112" s="295" t="str">
        <f t="shared" si="57"/>
        <v/>
      </c>
      <c r="G112" s="281" t="str">
        <f t="shared" si="58"/>
        <v/>
      </c>
      <c r="H112" s="296" t="str">
        <f t="shared" si="59"/>
        <v/>
      </c>
      <c r="I112" s="297"/>
      <c r="J112" s="298"/>
      <c r="L112" s="267" t="str">
        <f>TB!AG104</f>
        <v>Acorus Calamus</v>
      </c>
      <c r="M112" s="267" t="str">
        <f>TB!AD104</f>
        <v/>
      </c>
      <c r="N112" s="267">
        <f>TB!AT104</f>
        <v>0</v>
      </c>
      <c r="O112" s="267">
        <f>TB!AV104</f>
        <v>38</v>
      </c>
      <c r="P112" s="267">
        <f t="shared" si="39"/>
        <v>0</v>
      </c>
      <c r="Q112" s="267">
        <f t="shared" si="40"/>
        <v>0</v>
      </c>
      <c r="R112" s="267" t="str">
        <f>TB!AU104</f>
        <v>x6</v>
      </c>
      <c r="S112" s="267">
        <f>COUNTIF(N$12:N112,N112)</f>
        <v>101</v>
      </c>
      <c r="T112" s="267">
        <v>1</v>
      </c>
      <c r="U112" s="267">
        <f t="shared" si="41"/>
        <v>200</v>
      </c>
      <c r="V112" s="267" t="str">
        <f t="shared" si="52"/>
        <v>Acorus Calamus0</v>
      </c>
      <c r="W112" s="267" t="str">
        <f t="shared" si="51"/>
        <v/>
      </c>
      <c r="X112" s="267" t="str">
        <f>IF(W112&lt;&gt;"",1+COUNT(X$12:X111),"")</f>
        <v/>
      </c>
      <c r="Y112" s="267" t="str">
        <f t="shared" si="42"/>
        <v/>
      </c>
      <c r="Z112" s="267" t="str">
        <f t="shared" si="43"/>
        <v/>
      </c>
      <c r="AA112" s="267" t="str">
        <f t="shared" si="44"/>
        <v/>
      </c>
      <c r="AB112" s="267" t="str">
        <f t="shared" si="45"/>
        <v/>
      </c>
      <c r="AC112" s="267" t="str">
        <f t="shared" si="46"/>
        <v/>
      </c>
      <c r="AD112" s="267" t="str">
        <f t="shared" si="47"/>
        <v/>
      </c>
      <c r="AE112" s="267" t="str">
        <f t="shared" si="48"/>
        <v/>
      </c>
      <c r="AF112" s="267">
        <f t="shared" si="60"/>
        <v>0</v>
      </c>
      <c r="AG112" s="267" t="str">
        <f t="shared" si="50"/>
        <v/>
      </c>
      <c r="AH112" s="267" t="str">
        <f>IFERROR(RANK(AG112,AG$12:AG$211,1)+COUNTIF(AG$12:AG112,AG112)-1,"")</f>
        <v/>
      </c>
      <c r="AM112" s="267">
        <v>101</v>
      </c>
      <c r="AN112" s="267">
        <v>76</v>
      </c>
    </row>
    <row r="113" spans="1:40" x14ac:dyDescent="0.25">
      <c r="A113" s="267">
        <v>102</v>
      </c>
      <c r="B113" s="291" t="str">
        <f t="shared" si="54"/>
        <v/>
      </c>
      <c r="C113" s="292" t="str">
        <f t="shared" si="55"/>
        <v/>
      </c>
      <c r="D113" s="293" t="str">
        <f t="shared" si="56"/>
        <v/>
      </c>
      <c r="E113" s="294" t="str">
        <f t="shared" si="53"/>
        <v/>
      </c>
      <c r="F113" s="295" t="str">
        <f t="shared" si="57"/>
        <v/>
      </c>
      <c r="G113" s="281" t="str">
        <f t="shared" si="58"/>
        <v/>
      </c>
      <c r="H113" s="296" t="str">
        <f t="shared" si="59"/>
        <v/>
      </c>
      <c r="I113" s="297"/>
      <c r="J113" s="298"/>
      <c r="L113" s="267" t="str">
        <f>TB!AG105</f>
        <v>Acorus Calamus</v>
      </c>
      <c r="M113" s="267" t="str">
        <f>TB!AD105</f>
        <v/>
      </c>
      <c r="N113" s="267">
        <f>TB!AT105</f>
        <v>0</v>
      </c>
      <c r="O113" s="267">
        <f>TB!AV105</f>
        <v>38</v>
      </c>
      <c r="P113" s="267">
        <f t="shared" si="39"/>
        <v>0</v>
      </c>
      <c r="Q113" s="267">
        <f t="shared" si="40"/>
        <v>0</v>
      </c>
      <c r="R113" s="267" t="str">
        <f>TB!AU105</f>
        <v>x6</v>
      </c>
      <c r="S113" s="267">
        <f>COUNTIF(N$12:N113,N113)</f>
        <v>102</v>
      </c>
      <c r="T113" s="267">
        <v>1</v>
      </c>
      <c r="U113" s="267">
        <f t="shared" si="41"/>
        <v>200</v>
      </c>
      <c r="V113" s="267" t="str">
        <f t="shared" si="52"/>
        <v>Acorus Calamus0</v>
      </c>
      <c r="W113" s="267" t="str">
        <f t="shared" si="51"/>
        <v/>
      </c>
      <c r="X113" s="267" t="str">
        <f>IF(W113&lt;&gt;"",1+COUNT(X$12:X112),"")</f>
        <v/>
      </c>
      <c r="Y113" s="267" t="str">
        <f t="shared" si="42"/>
        <v/>
      </c>
      <c r="Z113" s="267" t="str">
        <f t="shared" si="43"/>
        <v/>
      </c>
      <c r="AA113" s="267" t="str">
        <f t="shared" si="44"/>
        <v/>
      </c>
      <c r="AB113" s="267" t="str">
        <f t="shared" si="45"/>
        <v/>
      </c>
      <c r="AC113" s="267" t="str">
        <f t="shared" si="46"/>
        <v/>
      </c>
      <c r="AD113" s="267" t="str">
        <f t="shared" si="47"/>
        <v/>
      </c>
      <c r="AE113" s="267" t="str">
        <f t="shared" si="48"/>
        <v/>
      </c>
      <c r="AF113" s="267">
        <f t="shared" si="60"/>
        <v>0</v>
      </c>
      <c r="AG113" s="267" t="str">
        <f t="shared" si="50"/>
        <v/>
      </c>
      <c r="AH113" s="267" t="str">
        <f>IFERROR(RANK(AG113,AG$12:AG$211,1)+COUNTIF(AG$12:AG113,AG113)-1,"")</f>
        <v/>
      </c>
      <c r="AM113" s="267">
        <v>102</v>
      </c>
      <c r="AN113" s="267">
        <v>74</v>
      </c>
    </row>
    <row r="114" spans="1:40" x14ac:dyDescent="0.25">
      <c r="A114" s="267">
        <v>103</v>
      </c>
      <c r="B114" s="291" t="str">
        <f t="shared" si="54"/>
        <v/>
      </c>
      <c r="C114" s="292" t="str">
        <f t="shared" si="55"/>
        <v/>
      </c>
      <c r="D114" s="293" t="str">
        <f t="shared" si="56"/>
        <v/>
      </c>
      <c r="E114" s="294" t="str">
        <f t="shared" si="53"/>
        <v/>
      </c>
      <c r="F114" s="295" t="str">
        <f t="shared" si="57"/>
        <v/>
      </c>
      <c r="G114" s="281" t="str">
        <f t="shared" si="58"/>
        <v/>
      </c>
      <c r="H114" s="296" t="str">
        <f t="shared" si="59"/>
        <v/>
      </c>
      <c r="I114" s="297"/>
      <c r="J114" s="298"/>
      <c r="L114" s="267" t="str">
        <f>TB!AG106</f>
        <v>Acorus Calamus</v>
      </c>
      <c r="M114" s="267" t="str">
        <f>TB!AD106</f>
        <v/>
      </c>
      <c r="N114" s="267">
        <f>TB!AT106</f>
        <v>0</v>
      </c>
      <c r="O114" s="267">
        <f>TB!AV106</f>
        <v>38</v>
      </c>
      <c r="P114" s="267">
        <f t="shared" si="39"/>
        <v>0</v>
      </c>
      <c r="Q114" s="267">
        <f t="shared" si="40"/>
        <v>0</v>
      </c>
      <c r="R114" s="267" t="str">
        <f>TB!AU106</f>
        <v>x6</v>
      </c>
      <c r="S114" s="267">
        <f>COUNTIF(N$12:N114,N114)</f>
        <v>103</v>
      </c>
      <c r="T114" s="267">
        <v>1</v>
      </c>
      <c r="U114" s="267">
        <f t="shared" si="41"/>
        <v>200</v>
      </c>
      <c r="V114" s="267" t="str">
        <f t="shared" si="52"/>
        <v>Acorus Calamus0</v>
      </c>
      <c r="W114" s="267" t="str">
        <f t="shared" si="51"/>
        <v/>
      </c>
      <c r="X114" s="267" t="str">
        <f>IF(W114&lt;&gt;"",1+COUNT(X$12:X113),"")</f>
        <v/>
      </c>
      <c r="Y114" s="267" t="str">
        <f t="shared" si="42"/>
        <v/>
      </c>
      <c r="Z114" s="267" t="str">
        <f t="shared" si="43"/>
        <v/>
      </c>
      <c r="AA114" s="267" t="str">
        <f t="shared" si="44"/>
        <v/>
      </c>
      <c r="AB114" s="267" t="str">
        <f t="shared" si="45"/>
        <v/>
      </c>
      <c r="AC114" s="267" t="str">
        <f t="shared" si="46"/>
        <v/>
      </c>
      <c r="AD114" s="267" t="str">
        <f t="shared" si="47"/>
        <v/>
      </c>
      <c r="AE114" s="267" t="str">
        <f t="shared" si="48"/>
        <v/>
      </c>
      <c r="AF114" s="267">
        <f t="shared" si="60"/>
        <v>0</v>
      </c>
      <c r="AG114" s="267" t="str">
        <f t="shared" si="50"/>
        <v/>
      </c>
      <c r="AH114" s="267" t="str">
        <f>IFERROR(RANK(AG114,AG$12:AG$211,1)+COUNTIF(AG$12:AG114,AG114)-1,"")</f>
        <v/>
      </c>
      <c r="AM114" s="267">
        <v>0</v>
      </c>
      <c r="AN114" s="267" t="s">
        <v>716</v>
      </c>
    </row>
    <row r="115" spans="1:40" x14ac:dyDescent="0.25">
      <c r="A115" s="267">
        <v>104</v>
      </c>
      <c r="B115" s="291" t="str">
        <f t="shared" si="54"/>
        <v/>
      </c>
      <c r="C115" s="292" t="str">
        <f t="shared" si="55"/>
        <v/>
      </c>
      <c r="D115" s="293" t="str">
        <f t="shared" si="56"/>
        <v/>
      </c>
      <c r="E115" s="294" t="str">
        <f t="shared" si="53"/>
        <v/>
      </c>
      <c r="F115" s="295" t="str">
        <f t="shared" si="57"/>
        <v/>
      </c>
      <c r="G115" s="281" t="str">
        <f t="shared" si="58"/>
        <v/>
      </c>
      <c r="H115" s="296" t="str">
        <f t="shared" si="59"/>
        <v/>
      </c>
      <c r="I115" s="297"/>
      <c r="J115" s="298"/>
      <c r="L115" s="267" t="str">
        <f>TB!AG107</f>
        <v>Acorus Calamus</v>
      </c>
      <c r="M115" s="267" t="str">
        <f>TB!AD107</f>
        <v/>
      </c>
      <c r="N115" s="267">
        <f>TB!AT107</f>
        <v>0</v>
      </c>
      <c r="O115" s="267">
        <f>TB!AV107</f>
        <v>38</v>
      </c>
      <c r="P115" s="267">
        <f t="shared" si="39"/>
        <v>0</v>
      </c>
      <c r="Q115" s="267">
        <f t="shared" si="40"/>
        <v>0</v>
      </c>
      <c r="R115" s="267" t="str">
        <f>TB!AU107</f>
        <v>x6</v>
      </c>
      <c r="S115" s="267">
        <f>COUNTIF(N$12:N115,N115)</f>
        <v>104</v>
      </c>
      <c r="T115" s="267">
        <v>1</v>
      </c>
      <c r="U115" s="267">
        <f t="shared" si="41"/>
        <v>200</v>
      </c>
      <c r="V115" s="267" t="str">
        <f t="shared" si="52"/>
        <v>Acorus Calamus0</v>
      </c>
      <c r="W115" s="267" t="str">
        <f t="shared" si="51"/>
        <v/>
      </c>
      <c r="X115" s="267" t="str">
        <f>IF(W115&lt;&gt;"",1+COUNT(X$12:X114),"")</f>
        <v/>
      </c>
      <c r="Y115" s="267" t="str">
        <f t="shared" si="42"/>
        <v/>
      </c>
      <c r="Z115" s="267" t="str">
        <f t="shared" si="43"/>
        <v/>
      </c>
      <c r="AA115" s="267" t="str">
        <f t="shared" si="44"/>
        <v/>
      </c>
      <c r="AB115" s="267" t="str">
        <f t="shared" si="45"/>
        <v/>
      </c>
      <c r="AC115" s="267" t="str">
        <f t="shared" si="46"/>
        <v/>
      </c>
      <c r="AD115" s="267" t="str">
        <f t="shared" si="47"/>
        <v/>
      </c>
      <c r="AE115" s="267" t="str">
        <f t="shared" si="48"/>
        <v/>
      </c>
      <c r="AF115" s="267">
        <f t="shared" si="60"/>
        <v>0</v>
      </c>
      <c r="AG115" s="267" t="str">
        <f t="shared" si="50"/>
        <v/>
      </c>
      <c r="AH115" s="267" t="str">
        <f>IFERROR(RANK(AG115,AG$12:AG$211,1)+COUNTIF(AG$12:AG115,AG115)-1,"")</f>
        <v/>
      </c>
      <c r="AM115" s="267">
        <v>-1</v>
      </c>
      <c r="AN115" s="267">
        <v>-1</v>
      </c>
    </row>
    <row r="116" spans="1:40" x14ac:dyDescent="0.25">
      <c r="A116" s="267">
        <v>105</v>
      </c>
      <c r="B116" s="291" t="str">
        <f t="shared" si="54"/>
        <v/>
      </c>
      <c r="C116" s="292" t="str">
        <f t="shared" si="55"/>
        <v/>
      </c>
      <c r="D116" s="293" t="str">
        <f t="shared" si="56"/>
        <v/>
      </c>
      <c r="E116" s="294" t="str">
        <f t="shared" si="53"/>
        <v/>
      </c>
      <c r="F116" s="295" t="str">
        <f t="shared" si="57"/>
        <v/>
      </c>
      <c r="G116" s="281" t="str">
        <f t="shared" si="58"/>
        <v/>
      </c>
      <c r="H116" s="296" t="str">
        <f t="shared" si="59"/>
        <v/>
      </c>
      <c r="I116" s="297"/>
      <c r="J116" s="298"/>
      <c r="L116" s="267" t="str">
        <f>TB!AG108</f>
        <v>Acorus Calamus</v>
      </c>
      <c r="M116" s="267" t="str">
        <f>TB!AD108</f>
        <v/>
      </c>
      <c r="N116" s="267">
        <f>TB!AT108</f>
        <v>0</v>
      </c>
      <c r="O116" s="267">
        <f>TB!AV108</f>
        <v>38</v>
      </c>
      <c r="P116" s="267">
        <f t="shared" si="39"/>
        <v>0</v>
      </c>
      <c r="Q116" s="267">
        <f t="shared" si="40"/>
        <v>0</v>
      </c>
      <c r="R116" s="267" t="str">
        <f>TB!AU108</f>
        <v>x6</v>
      </c>
      <c r="S116" s="267">
        <f>COUNTIF(N$12:N116,N116)</f>
        <v>105</v>
      </c>
      <c r="T116" s="267">
        <v>1</v>
      </c>
      <c r="U116" s="267">
        <f t="shared" si="41"/>
        <v>200</v>
      </c>
      <c r="V116" s="267" t="str">
        <f t="shared" si="52"/>
        <v>Acorus Calamus0</v>
      </c>
      <c r="W116" s="267" t="str">
        <f t="shared" si="51"/>
        <v/>
      </c>
      <c r="X116" s="267" t="str">
        <f>IF(W116&lt;&gt;"",1+COUNT(X$12:X115),"")</f>
        <v/>
      </c>
      <c r="Y116" s="267" t="str">
        <f t="shared" si="42"/>
        <v/>
      </c>
      <c r="Z116" s="267" t="str">
        <f t="shared" si="43"/>
        <v/>
      </c>
      <c r="AA116" s="267" t="str">
        <f t="shared" si="44"/>
        <v/>
      </c>
      <c r="AB116" s="267" t="str">
        <f t="shared" si="45"/>
        <v/>
      </c>
      <c r="AC116" s="267" t="str">
        <f t="shared" si="46"/>
        <v/>
      </c>
      <c r="AD116" s="267" t="str">
        <f t="shared" si="47"/>
        <v/>
      </c>
      <c r="AE116" s="267" t="str">
        <f t="shared" si="48"/>
        <v/>
      </c>
      <c r="AF116" s="267">
        <f t="shared" si="60"/>
        <v>0</v>
      </c>
      <c r="AG116" s="267" t="str">
        <f t="shared" si="50"/>
        <v/>
      </c>
      <c r="AH116" s="267" t="str">
        <f>IFERROR(RANK(AG116,AG$12:AG$211,1)+COUNTIF(AG$12:AG116,AG116)-1,"")</f>
        <v/>
      </c>
      <c r="AM116" s="267">
        <v>-2</v>
      </c>
      <c r="AN116" s="267">
        <v>-2</v>
      </c>
    </row>
    <row r="117" spans="1:40" x14ac:dyDescent="0.25">
      <c r="A117" s="267">
        <v>106</v>
      </c>
      <c r="B117" s="291" t="str">
        <f t="shared" si="54"/>
        <v/>
      </c>
      <c r="C117" s="292" t="str">
        <f t="shared" si="55"/>
        <v/>
      </c>
      <c r="D117" s="293" t="str">
        <f t="shared" si="56"/>
        <v/>
      </c>
      <c r="E117" s="294" t="str">
        <f t="shared" si="53"/>
        <v/>
      </c>
      <c r="F117" s="295" t="str">
        <f t="shared" si="57"/>
        <v/>
      </c>
      <c r="G117" s="281" t="str">
        <f t="shared" si="58"/>
        <v/>
      </c>
      <c r="H117" s="296" t="str">
        <f t="shared" si="59"/>
        <v/>
      </c>
      <c r="I117" s="297"/>
      <c r="J117" s="298"/>
      <c r="L117" s="267" t="str">
        <f>TB!AG109</f>
        <v>Acorus Calamus</v>
      </c>
      <c r="M117" s="267" t="str">
        <f>TB!AD109</f>
        <v/>
      </c>
      <c r="N117" s="267">
        <f>TB!AT109</f>
        <v>0</v>
      </c>
      <c r="O117" s="267">
        <f>TB!AV109</f>
        <v>38</v>
      </c>
      <c r="P117" s="267">
        <f t="shared" si="39"/>
        <v>0</v>
      </c>
      <c r="Q117" s="267">
        <f t="shared" si="40"/>
        <v>0</v>
      </c>
      <c r="R117" s="267" t="str">
        <f>TB!AU109</f>
        <v>x6</v>
      </c>
      <c r="S117" s="267">
        <f>COUNTIF(N$12:N117,N117)</f>
        <v>106</v>
      </c>
      <c r="T117" s="267">
        <v>1</v>
      </c>
      <c r="U117" s="267">
        <f t="shared" si="41"/>
        <v>200</v>
      </c>
      <c r="V117" s="267" t="str">
        <f t="shared" si="52"/>
        <v>Acorus Calamus0</v>
      </c>
      <c r="W117" s="267" t="str">
        <f t="shared" si="51"/>
        <v/>
      </c>
      <c r="X117" s="267" t="str">
        <f>IF(W117&lt;&gt;"",1+COUNT(X$12:X116),"")</f>
        <v/>
      </c>
      <c r="Y117" s="267" t="str">
        <f t="shared" si="42"/>
        <v/>
      </c>
      <c r="Z117" s="267" t="str">
        <f t="shared" si="43"/>
        <v/>
      </c>
      <c r="AA117" s="267" t="str">
        <f t="shared" si="44"/>
        <v/>
      </c>
      <c r="AB117" s="267" t="str">
        <f t="shared" si="45"/>
        <v/>
      </c>
      <c r="AC117" s="267" t="str">
        <f t="shared" si="46"/>
        <v/>
      </c>
      <c r="AD117" s="267" t="str">
        <f t="shared" si="47"/>
        <v/>
      </c>
      <c r="AE117" s="267" t="str">
        <f t="shared" si="48"/>
        <v/>
      </c>
      <c r="AF117" s="267">
        <f t="shared" si="60"/>
        <v>0</v>
      </c>
      <c r="AG117" s="267" t="str">
        <f t="shared" si="50"/>
        <v/>
      </c>
      <c r="AH117" s="267" t="str">
        <f>IFERROR(RANK(AG117,AG$12:AG$211,1)+COUNTIF(AG$12:AG117,AG117)-1,"")</f>
        <v/>
      </c>
      <c r="AM117" s="267">
        <v>-3</v>
      </c>
      <c r="AN117" s="267">
        <v>-3</v>
      </c>
    </row>
    <row r="118" spans="1:40" x14ac:dyDescent="0.25">
      <c r="A118" s="267">
        <v>107</v>
      </c>
      <c r="B118" s="291" t="str">
        <f t="shared" si="54"/>
        <v/>
      </c>
      <c r="C118" s="292" t="str">
        <f t="shared" si="55"/>
        <v/>
      </c>
      <c r="D118" s="293" t="str">
        <f t="shared" si="56"/>
        <v/>
      </c>
      <c r="E118" s="294" t="str">
        <f t="shared" si="53"/>
        <v/>
      </c>
      <c r="F118" s="295" t="str">
        <f t="shared" si="57"/>
        <v/>
      </c>
      <c r="G118" s="281" t="str">
        <f t="shared" si="58"/>
        <v/>
      </c>
      <c r="H118" s="296" t="str">
        <f t="shared" si="59"/>
        <v/>
      </c>
      <c r="I118" s="297"/>
      <c r="J118" s="298"/>
      <c r="L118" s="267" t="str">
        <f>TB!AG110</f>
        <v>Acorus Calamus</v>
      </c>
      <c r="M118" s="267" t="str">
        <f>TB!AD110</f>
        <v/>
      </c>
      <c r="N118" s="267">
        <f>TB!AT110</f>
        <v>0</v>
      </c>
      <c r="O118" s="267">
        <f>TB!AV110</f>
        <v>38</v>
      </c>
      <c r="P118" s="267">
        <f t="shared" si="39"/>
        <v>0</v>
      </c>
      <c r="Q118" s="267">
        <f t="shared" si="40"/>
        <v>0</v>
      </c>
      <c r="R118" s="267" t="str">
        <f>TB!AU110</f>
        <v>x6</v>
      </c>
      <c r="S118" s="267">
        <f>COUNTIF(N$12:N118,N118)</f>
        <v>107</v>
      </c>
      <c r="T118" s="267">
        <v>1</v>
      </c>
      <c r="U118" s="267">
        <f t="shared" si="41"/>
        <v>200</v>
      </c>
      <c r="V118" s="267" t="str">
        <f t="shared" si="52"/>
        <v>Acorus Calamus0</v>
      </c>
      <c r="W118" s="267" t="str">
        <f t="shared" si="51"/>
        <v/>
      </c>
      <c r="X118" s="267" t="str">
        <f>IF(W118&lt;&gt;"",1+COUNT(X$12:X117),"")</f>
        <v/>
      </c>
      <c r="Y118" s="267" t="str">
        <f t="shared" si="42"/>
        <v/>
      </c>
      <c r="Z118" s="267" t="str">
        <f t="shared" si="43"/>
        <v/>
      </c>
      <c r="AA118" s="267" t="str">
        <f t="shared" si="44"/>
        <v/>
      </c>
      <c r="AB118" s="267" t="str">
        <f t="shared" si="45"/>
        <v/>
      </c>
      <c r="AC118" s="267" t="str">
        <f t="shared" si="46"/>
        <v/>
      </c>
      <c r="AD118" s="267" t="str">
        <f t="shared" si="47"/>
        <v/>
      </c>
      <c r="AE118" s="267" t="str">
        <f t="shared" si="48"/>
        <v/>
      </c>
      <c r="AF118" s="267">
        <f t="shared" si="60"/>
        <v>0</v>
      </c>
      <c r="AG118" s="267" t="str">
        <f t="shared" si="50"/>
        <v/>
      </c>
      <c r="AH118" s="267" t="str">
        <f>IFERROR(RANK(AG118,AG$12:AG$211,1)+COUNTIF(AG$12:AG118,AG118)-1,"")</f>
        <v/>
      </c>
      <c r="AM118" s="267">
        <v>-4</v>
      </c>
      <c r="AN118" s="267">
        <v>-4</v>
      </c>
    </row>
    <row r="119" spans="1:40" x14ac:dyDescent="0.25">
      <c r="A119" s="267">
        <v>108</v>
      </c>
      <c r="B119" s="291" t="str">
        <f t="shared" si="54"/>
        <v/>
      </c>
      <c r="C119" s="292" t="str">
        <f t="shared" si="55"/>
        <v/>
      </c>
      <c r="D119" s="293" t="str">
        <f t="shared" si="56"/>
        <v/>
      </c>
      <c r="E119" s="294" t="str">
        <f t="shared" si="53"/>
        <v/>
      </c>
      <c r="F119" s="295" t="str">
        <f t="shared" si="57"/>
        <v/>
      </c>
      <c r="G119" s="281" t="str">
        <f t="shared" si="58"/>
        <v/>
      </c>
      <c r="H119" s="296" t="str">
        <f t="shared" si="59"/>
        <v/>
      </c>
      <c r="I119" s="297"/>
      <c r="J119" s="298"/>
      <c r="L119" s="267" t="str">
        <f>TB!AG111</f>
        <v>Acorus Calamus</v>
      </c>
      <c r="M119" s="267" t="str">
        <f>TB!AD111</f>
        <v/>
      </c>
      <c r="N119" s="267">
        <f>TB!AT111</f>
        <v>0</v>
      </c>
      <c r="O119" s="267">
        <f>TB!AV111</f>
        <v>38</v>
      </c>
      <c r="P119" s="267">
        <f t="shared" si="39"/>
        <v>0</v>
      </c>
      <c r="Q119" s="267">
        <f t="shared" si="40"/>
        <v>0</v>
      </c>
      <c r="R119" s="267" t="str">
        <f>TB!AU111</f>
        <v>x6</v>
      </c>
      <c r="S119" s="267">
        <f>COUNTIF(N$12:N119,N119)</f>
        <v>108</v>
      </c>
      <c r="T119" s="267">
        <v>1</v>
      </c>
      <c r="U119" s="267">
        <f t="shared" si="41"/>
        <v>200</v>
      </c>
      <c r="V119" s="267" t="str">
        <f t="shared" si="52"/>
        <v>Acorus Calamus0</v>
      </c>
      <c r="W119" s="267" t="str">
        <f t="shared" si="51"/>
        <v/>
      </c>
      <c r="X119" s="267" t="str">
        <f>IF(W119&lt;&gt;"",1+COUNT(X$12:X118),"")</f>
        <v/>
      </c>
      <c r="Y119" s="267" t="str">
        <f t="shared" si="42"/>
        <v/>
      </c>
      <c r="Z119" s="267" t="str">
        <f t="shared" si="43"/>
        <v/>
      </c>
      <c r="AA119" s="267" t="str">
        <f t="shared" si="44"/>
        <v/>
      </c>
      <c r="AB119" s="267" t="str">
        <f t="shared" si="45"/>
        <v/>
      </c>
      <c r="AC119" s="267" t="str">
        <f t="shared" si="46"/>
        <v/>
      </c>
      <c r="AD119" s="267" t="str">
        <f t="shared" si="47"/>
        <v/>
      </c>
      <c r="AE119" s="267" t="str">
        <f t="shared" si="48"/>
        <v/>
      </c>
      <c r="AF119" s="267">
        <f t="shared" si="60"/>
        <v>0</v>
      </c>
      <c r="AG119" s="267" t="str">
        <f t="shared" si="50"/>
        <v/>
      </c>
      <c r="AH119" s="267" t="str">
        <f>IFERROR(RANK(AG119,AG$12:AG$211,1)+COUNTIF(AG$12:AG119,AG119)-1,"")</f>
        <v/>
      </c>
      <c r="AM119" s="267">
        <v>150</v>
      </c>
      <c r="AN119" s="267">
        <v>150</v>
      </c>
    </row>
    <row r="120" spans="1:40" x14ac:dyDescent="0.25">
      <c r="A120" s="267">
        <v>109</v>
      </c>
      <c r="B120" s="291" t="str">
        <f t="shared" si="54"/>
        <v/>
      </c>
      <c r="C120" s="292" t="str">
        <f t="shared" si="55"/>
        <v/>
      </c>
      <c r="D120" s="293" t="str">
        <f t="shared" si="56"/>
        <v/>
      </c>
      <c r="E120" s="294" t="str">
        <f t="shared" si="53"/>
        <v/>
      </c>
      <c r="F120" s="295" t="str">
        <f t="shared" si="57"/>
        <v/>
      </c>
      <c r="G120" s="281" t="str">
        <f t="shared" si="58"/>
        <v/>
      </c>
      <c r="H120" s="296" t="str">
        <f t="shared" si="59"/>
        <v/>
      </c>
      <c r="I120" s="297"/>
      <c r="J120" s="298"/>
      <c r="L120" s="267" t="str">
        <f>TB!AG112</f>
        <v>Acorus Calamus</v>
      </c>
      <c r="M120" s="267" t="str">
        <f>TB!AD112</f>
        <v/>
      </c>
      <c r="N120" s="267">
        <f>TB!AT112</f>
        <v>0</v>
      </c>
      <c r="O120" s="267">
        <f>TB!AV112</f>
        <v>38</v>
      </c>
      <c r="P120" s="267">
        <f t="shared" si="39"/>
        <v>0</v>
      </c>
      <c r="Q120" s="267">
        <f t="shared" si="40"/>
        <v>0</v>
      </c>
      <c r="R120" s="267" t="str">
        <f>TB!AU112</f>
        <v>x6</v>
      </c>
      <c r="S120" s="267">
        <f>COUNTIF(N$12:N120,N120)</f>
        <v>109</v>
      </c>
      <c r="T120" s="267">
        <v>1</v>
      </c>
      <c r="U120" s="267">
        <f t="shared" si="41"/>
        <v>200</v>
      </c>
      <c r="V120" s="267" t="str">
        <f t="shared" si="52"/>
        <v>Acorus Calamus0</v>
      </c>
      <c r="W120" s="267" t="str">
        <f t="shared" si="51"/>
        <v/>
      </c>
      <c r="X120" s="267" t="str">
        <f>IF(W120&lt;&gt;"",1+COUNT(X$12:X119),"")</f>
        <v/>
      </c>
      <c r="Y120" s="267" t="str">
        <f t="shared" si="42"/>
        <v/>
      </c>
      <c r="Z120" s="267" t="str">
        <f t="shared" si="43"/>
        <v/>
      </c>
      <c r="AA120" s="267" t="str">
        <f t="shared" si="44"/>
        <v/>
      </c>
      <c r="AB120" s="267" t="str">
        <f t="shared" si="45"/>
        <v/>
      </c>
      <c r="AC120" s="267" t="str">
        <f t="shared" si="46"/>
        <v/>
      </c>
      <c r="AD120" s="267" t="str">
        <f t="shared" si="47"/>
        <v/>
      </c>
      <c r="AE120" s="267" t="str">
        <f t="shared" si="48"/>
        <v/>
      </c>
      <c r="AF120" s="267">
        <f t="shared" si="60"/>
        <v>0</v>
      </c>
      <c r="AG120" s="267" t="str">
        <f t="shared" si="50"/>
        <v/>
      </c>
      <c r="AH120" s="267" t="str">
        <f>IFERROR(RANK(AG120,AG$12:AG$211,1)+COUNTIF(AG$12:AG120,AG120)-1,"")</f>
        <v/>
      </c>
      <c r="AN120" s="267">
        <v>0</v>
      </c>
    </row>
    <row r="121" spans="1:40" x14ac:dyDescent="0.25">
      <c r="A121" s="267">
        <v>110</v>
      </c>
      <c r="B121" s="291" t="str">
        <f t="shared" si="54"/>
        <v/>
      </c>
      <c r="C121" s="292" t="str">
        <f t="shared" si="55"/>
        <v/>
      </c>
      <c r="D121" s="293" t="str">
        <f t="shared" si="56"/>
        <v/>
      </c>
      <c r="E121" s="294" t="str">
        <f t="shared" si="53"/>
        <v/>
      </c>
      <c r="F121" s="295" t="str">
        <f t="shared" si="57"/>
        <v/>
      </c>
      <c r="G121" s="281" t="str">
        <f t="shared" si="58"/>
        <v/>
      </c>
      <c r="H121" s="296" t="str">
        <f t="shared" si="59"/>
        <v/>
      </c>
      <c r="I121" s="297"/>
      <c r="J121" s="298"/>
      <c r="L121" s="267" t="str">
        <f>TB!AG113</f>
        <v>Acorus Calamus</v>
      </c>
      <c r="M121" s="267" t="str">
        <f>TB!AD113</f>
        <v/>
      </c>
      <c r="N121" s="267">
        <f>TB!AT113</f>
        <v>0</v>
      </c>
      <c r="O121" s="267">
        <f>TB!AV113</f>
        <v>38</v>
      </c>
      <c r="P121" s="267">
        <f t="shared" si="39"/>
        <v>0</v>
      </c>
      <c r="Q121" s="267">
        <f t="shared" si="40"/>
        <v>0</v>
      </c>
      <c r="R121" s="267" t="str">
        <f>TB!AU113</f>
        <v>x6</v>
      </c>
      <c r="S121" s="267">
        <f>COUNTIF(N$12:N121,N121)</f>
        <v>110</v>
      </c>
      <c r="T121" s="267">
        <v>1</v>
      </c>
      <c r="U121" s="267">
        <f t="shared" si="41"/>
        <v>200</v>
      </c>
      <c r="V121" s="267" t="str">
        <f t="shared" si="52"/>
        <v>Acorus Calamus0</v>
      </c>
      <c r="W121" s="267" t="str">
        <f t="shared" si="51"/>
        <v/>
      </c>
      <c r="X121" s="267" t="str">
        <f>IF(W121&lt;&gt;"",1+COUNT(X$12:X120),"")</f>
        <v/>
      </c>
      <c r="Y121" s="267" t="str">
        <f t="shared" si="42"/>
        <v/>
      </c>
      <c r="Z121" s="267" t="str">
        <f t="shared" si="43"/>
        <v/>
      </c>
      <c r="AA121" s="267" t="str">
        <f t="shared" si="44"/>
        <v/>
      </c>
      <c r="AB121" s="267" t="str">
        <f t="shared" si="45"/>
        <v/>
      </c>
      <c r="AC121" s="267" t="str">
        <f t="shared" si="46"/>
        <v/>
      </c>
      <c r="AD121" s="267" t="str">
        <f t="shared" si="47"/>
        <v/>
      </c>
      <c r="AE121" s="267" t="str">
        <f t="shared" si="48"/>
        <v/>
      </c>
      <c r="AF121" s="267">
        <f t="shared" si="60"/>
        <v>0</v>
      </c>
      <c r="AG121" s="267" t="str">
        <f t="shared" si="50"/>
        <v/>
      </c>
      <c r="AH121" s="267" t="str">
        <f>IFERROR(RANK(AG121,AG$12:AG$211,1)+COUNTIF(AG$12:AG121,AG121)-1,"")</f>
        <v/>
      </c>
    </row>
    <row r="122" spans="1:40" x14ac:dyDescent="0.25">
      <c r="A122" s="267">
        <v>111</v>
      </c>
      <c r="B122" s="291" t="str">
        <f t="shared" si="54"/>
        <v/>
      </c>
      <c r="C122" s="292" t="str">
        <f t="shared" si="55"/>
        <v/>
      </c>
      <c r="D122" s="293" t="str">
        <f t="shared" si="56"/>
        <v/>
      </c>
      <c r="E122" s="294" t="str">
        <f t="shared" si="53"/>
        <v/>
      </c>
      <c r="F122" s="295" t="str">
        <f t="shared" si="57"/>
        <v/>
      </c>
      <c r="G122" s="281" t="str">
        <f t="shared" si="58"/>
        <v/>
      </c>
      <c r="H122" s="296" t="str">
        <f t="shared" si="59"/>
        <v/>
      </c>
      <c r="I122" s="297"/>
      <c r="J122" s="298"/>
      <c r="L122" s="267" t="str">
        <f>TB!AG114</f>
        <v>Acorus Calamus</v>
      </c>
      <c r="M122" s="267" t="str">
        <f>TB!AD114</f>
        <v/>
      </c>
      <c r="N122" s="267">
        <f>TB!AT114</f>
        <v>0</v>
      </c>
      <c r="O122" s="267">
        <f>TB!AV114</f>
        <v>38</v>
      </c>
      <c r="P122" s="267">
        <f t="shared" si="39"/>
        <v>0</v>
      </c>
      <c r="Q122" s="267">
        <f t="shared" si="40"/>
        <v>0</v>
      </c>
      <c r="R122" s="267" t="str">
        <f>TB!AU114</f>
        <v>x6</v>
      </c>
      <c r="S122" s="267">
        <f>COUNTIF(N$12:N122,N122)</f>
        <v>111</v>
      </c>
      <c r="T122" s="267">
        <v>1</v>
      </c>
      <c r="U122" s="267">
        <f t="shared" si="41"/>
        <v>200</v>
      </c>
      <c r="V122" s="267" t="str">
        <f t="shared" si="52"/>
        <v>Acorus Calamus0</v>
      </c>
      <c r="W122" s="267" t="str">
        <f t="shared" si="51"/>
        <v/>
      </c>
      <c r="X122" s="267" t="str">
        <f>IF(W122&lt;&gt;"",1+COUNT(X$12:X121),"")</f>
        <v/>
      </c>
      <c r="Y122" s="267" t="str">
        <f t="shared" si="42"/>
        <v/>
      </c>
      <c r="Z122" s="267" t="str">
        <f t="shared" si="43"/>
        <v/>
      </c>
      <c r="AA122" s="267" t="str">
        <f t="shared" si="44"/>
        <v/>
      </c>
      <c r="AB122" s="267" t="str">
        <f t="shared" si="45"/>
        <v/>
      </c>
      <c r="AC122" s="267" t="str">
        <f t="shared" si="46"/>
        <v/>
      </c>
      <c r="AD122" s="267" t="str">
        <f t="shared" si="47"/>
        <v/>
      </c>
      <c r="AE122" s="267" t="str">
        <f t="shared" si="48"/>
        <v/>
      </c>
      <c r="AF122" s="267">
        <f t="shared" si="60"/>
        <v>0</v>
      </c>
      <c r="AG122" s="267" t="str">
        <f t="shared" si="50"/>
        <v/>
      </c>
      <c r="AH122" s="267" t="str">
        <f>IFERROR(RANK(AG122,AG$12:AG$211,1)+COUNTIF(AG$12:AG122,AG122)-1,"")</f>
        <v/>
      </c>
    </row>
    <row r="123" spans="1:40" x14ac:dyDescent="0.25">
      <c r="A123" s="267">
        <v>112</v>
      </c>
      <c r="B123" s="291" t="str">
        <f t="shared" si="54"/>
        <v/>
      </c>
      <c r="C123" s="292" t="str">
        <f t="shared" si="55"/>
        <v/>
      </c>
      <c r="D123" s="293" t="str">
        <f t="shared" si="56"/>
        <v/>
      </c>
      <c r="E123" s="294" t="str">
        <f t="shared" si="53"/>
        <v/>
      </c>
      <c r="F123" s="295" t="str">
        <f t="shared" si="57"/>
        <v/>
      </c>
      <c r="G123" s="281" t="str">
        <f t="shared" si="58"/>
        <v/>
      </c>
      <c r="H123" s="296" t="str">
        <f t="shared" si="59"/>
        <v/>
      </c>
      <c r="I123" s="297"/>
      <c r="J123" s="298"/>
      <c r="L123" s="267" t="str">
        <f>TB!AG115</f>
        <v>Acorus Calamus</v>
      </c>
      <c r="M123" s="267" t="str">
        <f>TB!AD115</f>
        <v/>
      </c>
      <c r="N123" s="267">
        <f>TB!AT115</f>
        <v>0</v>
      </c>
      <c r="O123" s="267">
        <f>TB!AV115</f>
        <v>38</v>
      </c>
      <c r="P123" s="267">
        <f t="shared" si="39"/>
        <v>0</v>
      </c>
      <c r="Q123" s="267">
        <f t="shared" si="40"/>
        <v>0</v>
      </c>
      <c r="R123" s="267" t="str">
        <f>TB!AU115</f>
        <v>x6</v>
      </c>
      <c r="S123" s="267">
        <f>COUNTIF(N$12:N123,N123)</f>
        <v>112</v>
      </c>
      <c r="T123" s="267">
        <v>1</v>
      </c>
      <c r="U123" s="267">
        <f t="shared" si="41"/>
        <v>200</v>
      </c>
      <c r="V123" s="267" t="str">
        <f t="shared" si="52"/>
        <v>Acorus Calamus0</v>
      </c>
      <c r="W123" s="267" t="str">
        <f t="shared" si="51"/>
        <v/>
      </c>
      <c r="X123" s="267" t="str">
        <f>IF(W123&lt;&gt;"",1+COUNT(X$12:X122),"")</f>
        <v/>
      </c>
      <c r="Y123" s="267" t="str">
        <f t="shared" si="42"/>
        <v/>
      </c>
      <c r="Z123" s="267" t="str">
        <f t="shared" si="43"/>
        <v/>
      </c>
      <c r="AA123" s="267" t="str">
        <f t="shared" si="44"/>
        <v/>
      </c>
      <c r="AB123" s="267" t="str">
        <f t="shared" si="45"/>
        <v/>
      </c>
      <c r="AC123" s="267" t="str">
        <f t="shared" si="46"/>
        <v/>
      </c>
      <c r="AD123" s="267" t="str">
        <f t="shared" si="47"/>
        <v/>
      </c>
      <c r="AE123" s="267" t="str">
        <f t="shared" si="48"/>
        <v/>
      </c>
      <c r="AF123" s="267">
        <f t="shared" si="60"/>
        <v>0</v>
      </c>
      <c r="AG123" s="267" t="str">
        <f t="shared" si="50"/>
        <v/>
      </c>
      <c r="AH123" s="267" t="str">
        <f>IFERROR(RANK(AG123,AG$12:AG$211,1)+COUNTIF(AG$12:AG123,AG123)-1,"")</f>
        <v/>
      </c>
    </row>
    <row r="124" spans="1:40" x14ac:dyDescent="0.25">
      <c r="A124" s="267">
        <v>113</v>
      </c>
      <c r="B124" s="291" t="str">
        <f t="shared" si="54"/>
        <v/>
      </c>
      <c r="C124" s="292" t="str">
        <f t="shared" si="55"/>
        <v/>
      </c>
      <c r="D124" s="293" t="str">
        <f t="shared" si="56"/>
        <v/>
      </c>
      <c r="E124" s="294" t="str">
        <f t="shared" si="53"/>
        <v/>
      </c>
      <c r="F124" s="295" t="str">
        <f t="shared" si="57"/>
        <v/>
      </c>
      <c r="G124" s="281" t="str">
        <f t="shared" si="58"/>
        <v/>
      </c>
      <c r="H124" s="296" t="str">
        <f t="shared" si="59"/>
        <v/>
      </c>
      <c r="I124" s="297"/>
      <c r="J124" s="298"/>
      <c r="L124" s="267" t="str">
        <f>TB!AG116</f>
        <v>Acorus Calamus</v>
      </c>
      <c r="M124" s="267" t="str">
        <f>TB!AD116</f>
        <v/>
      </c>
      <c r="N124" s="267">
        <f>TB!AT116</f>
        <v>0</v>
      </c>
      <c r="O124" s="267">
        <f>TB!AV116</f>
        <v>38</v>
      </c>
      <c r="P124" s="267">
        <f t="shared" si="39"/>
        <v>0</v>
      </c>
      <c r="Q124" s="267">
        <f t="shared" si="40"/>
        <v>0</v>
      </c>
      <c r="R124" s="267" t="str">
        <f>TB!AU116</f>
        <v>x6</v>
      </c>
      <c r="S124" s="267">
        <f>COUNTIF(N$12:N124,N124)</f>
        <v>113</v>
      </c>
      <c r="T124" s="267">
        <v>1</v>
      </c>
      <c r="U124" s="267">
        <f t="shared" si="41"/>
        <v>200</v>
      </c>
      <c r="V124" s="267" t="str">
        <f t="shared" si="52"/>
        <v>Acorus Calamus0</v>
      </c>
      <c r="W124" s="267" t="str">
        <f t="shared" si="51"/>
        <v/>
      </c>
      <c r="X124" s="267" t="str">
        <f>IF(W124&lt;&gt;"",1+COUNT(X$12:X123),"")</f>
        <v/>
      </c>
      <c r="Y124" s="267" t="str">
        <f t="shared" si="42"/>
        <v/>
      </c>
      <c r="Z124" s="267" t="str">
        <f t="shared" si="43"/>
        <v/>
      </c>
      <c r="AA124" s="267" t="str">
        <f t="shared" si="44"/>
        <v/>
      </c>
      <c r="AB124" s="267" t="str">
        <f t="shared" si="45"/>
        <v/>
      </c>
      <c r="AC124" s="267" t="str">
        <f t="shared" si="46"/>
        <v/>
      </c>
      <c r="AD124" s="267" t="str">
        <f t="shared" si="47"/>
        <v/>
      </c>
      <c r="AE124" s="267" t="str">
        <f t="shared" si="48"/>
        <v/>
      </c>
      <c r="AF124" s="267">
        <f t="shared" si="60"/>
        <v>0</v>
      </c>
      <c r="AG124" s="267" t="str">
        <f t="shared" si="50"/>
        <v/>
      </c>
      <c r="AH124" s="267" t="str">
        <f>IFERROR(RANK(AG124,AG$12:AG$211,1)+COUNTIF(AG$12:AG124,AG124)-1,"")</f>
        <v/>
      </c>
    </row>
    <row r="125" spans="1:40" x14ac:dyDescent="0.25">
      <c r="A125" s="267">
        <v>114</v>
      </c>
      <c r="B125" s="291" t="str">
        <f t="shared" si="54"/>
        <v/>
      </c>
      <c r="C125" s="292" t="str">
        <f t="shared" si="55"/>
        <v/>
      </c>
      <c r="D125" s="293" t="str">
        <f t="shared" si="56"/>
        <v/>
      </c>
      <c r="E125" s="294" t="str">
        <f t="shared" si="53"/>
        <v/>
      </c>
      <c r="F125" s="295" t="str">
        <f t="shared" si="57"/>
        <v/>
      </c>
      <c r="G125" s="281" t="str">
        <f t="shared" si="58"/>
        <v/>
      </c>
      <c r="H125" s="296" t="str">
        <f t="shared" si="59"/>
        <v/>
      </c>
      <c r="I125" s="297"/>
      <c r="J125" s="298"/>
      <c r="L125" s="267" t="str">
        <f>TB!AG117</f>
        <v>Acorus Calamus</v>
      </c>
      <c r="M125" s="267" t="str">
        <f>TB!AD117</f>
        <v/>
      </c>
      <c r="N125" s="267">
        <f>TB!AT117</f>
        <v>0</v>
      </c>
      <c r="O125" s="267">
        <f>TB!AV117</f>
        <v>38</v>
      </c>
      <c r="P125" s="267">
        <f t="shared" si="39"/>
        <v>0</v>
      </c>
      <c r="Q125" s="267">
        <f t="shared" si="40"/>
        <v>0</v>
      </c>
      <c r="R125" s="267" t="str">
        <f>TB!AU117</f>
        <v>x6</v>
      </c>
      <c r="S125" s="267">
        <f>COUNTIF(N$12:N125,N125)</f>
        <v>114</v>
      </c>
      <c r="T125" s="267">
        <v>1</v>
      </c>
      <c r="U125" s="267">
        <f t="shared" si="41"/>
        <v>200</v>
      </c>
      <c r="V125" s="267" t="str">
        <f t="shared" si="52"/>
        <v>Acorus Calamus0</v>
      </c>
      <c r="W125" s="267" t="str">
        <f t="shared" si="51"/>
        <v/>
      </c>
      <c r="X125" s="267" t="str">
        <f>IF(W125&lt;&gt;"",1+COUNT(X$12:X124),"")</f>
        <v/>
      </c>
      <c r="Y125" s="267" t="str">
        <f t="shared" si="42"/>
        <v/>
      </c>
      <c r="Z125" s="267" t="str">
        <f t="shared" si="43"/>
        <v/>
      </c>
      <c r="AA125" s="267" t="str">
        <f t="shared" si="44"/>
        <v/>
      </c>
      <c r="AB125" s="267" t="str">
        <f t="shared" si="45"/>
        <v/>
      </c>
      <c r="AC125" s="267" t="str">
        <f t="shared" si="46"/>
        <v/>
      </c>
      <c r="AD125" s="267" t="str">
        <f t="shared" si="47"/>
        <v/>
      </c>
      <c r="AE125" s="267" t="str">
        <f t="shared" si="48"/>
        <v/>
      </c>
      <c r="AF125" s="267">
        <f t="shared" si="60"/>
        <v>0</v>
      </c>
      <c r="AG125" s="267" t="str">
        <f t="shared" si="50"/>
        <v/>
      </c>
      <c r="AH125" s="267" t="str">
        <f>IFERROR(RANK(AG125,AG$12:AG$211,1)+COUNTIF(AG$12:AG125,AG125)-1,"")</f>
        <v/>
      </c>
    </row>
    <row r="126" spans="1:40" x14ac:dyDescent="0.25">
      <c r="A126" s="267">
        <v>115</v>
      </c>
      <c r="B126" s="291" t="str">
        <f t="shared" si="54"/>
        <v/>
      </c>
      <c r="C126" s="292" t="str">
        <f t="shared" si="55"/>
        <v/>
      </c>
      <c r="D126" s="293" t="str">
        <f t="shared" si="56"/>
        <v/>
      </c>
      <c r="E126" s="294" t="str">
        <f t="shared" si="53"/>
        <v/>
      </c>
      <c r="F126" s="295" t="str">
        <f t="shared" si="57"/>
        <v/>
      </c>
      <c r="G126" s="281" t="str">
        <f t="shared" si="58"/>
        <v/>
      </c>
      <c r="H126" s="296" t="str">
        <f t="shared" si="59"/>
        <v/>
      </c>
      <c r="I126" s="297"/>
      <c r="J126" s="298"/>
      <c r="L126" s="267" t="str">
        <f>TB!AG118</f>
        <v>Acorus Calamus</v>
      </c>
      <c r="M126" s="267" t="str">
        <f>TB!AD118</f>
        <v/>
      </c>
      <c r="N126" s="267">
        <f>TB!AT118</f>
        <v>0</v>
      </c>
      <c r="O126" s="267">
        <f>TB!AV118</f>
        <v>38</v>
      </c>
      <c r="P126" s="267">
        <f t="shared" si="39"/>
        <v>0</v>
      </c>
      <c r="Q126" s="267">
        <f t="shared" si="40"/>
        <v>0</v>
      </c>
      <c r="R126" s="267" t="str">
        <f>TB!AU118</f>
        <v>x6</v>
      </c>
      <c r="S126" s="267">
        <f>COUNTIF(N$12:N126,N126)</f>
        <v>115</v>
      </c>
      <c r="T126" s="267">
        <v>1</v>
      </c>
      <c r="U126" s="267">
        <f t="shared" si="41"/>
        <v>200</v>
      </c>
      <c r="V126" s="267" t="str">
        <f t="shared" si="52"/>
        <v>Acorus Calamus0</v>
      </c>
      <c r="W126" s="267" t="str">
        <f t="shared" si="51"/>
        <v/>
      </c>
      <c r="X126" s="267" t="str">
        <f>IF(W126&lt;&gt;"",1+COUNT(X$12:X125),"")</f>
        <v/>
      </c>
      <c r="Y126" s="267" t="str">
        <f t="shared" si="42"/>
        <v/>
      </c>
      <c r="Z126" s="267" t="str">
        <f t="shared" si="43"/>
        <v/>
      </c>
      <c r="AA126" s="267" t="str">
        <f t="shared" si="44"/>
        <v/>
      </c>
      <c r="AB126" s="267" t="str">
        <f t="shared" si="45"/>
        <v/>
      </c>
      <c r="AC126" s="267" t="str">
        <f t="shared" si="46"/>
        <v/>
      </c>
      <c r="AD126" s="267" t="str">
        <f t="shared" si="47"/>
        <v/>
      </c>
      <c r="AE126" s="267" t="str">
        <f t="shared" si="48"/>
        <v/>
      </c>
      <c r="AF126" s="267">
        <f t="shared" si="60"/>
        <v>0</v>
      </c>
      <c r="AG126" s="267" t="str">
        <f t="shared" si="50"/>
        <v/>
      </c>
      <c r="AH126" s="267" t="str">
        <f>IFERROR(RANK(AG126,AG$12:AG$211,1)+COUNTIF(AG$12:AG126,AG126)-1,"")</f>
        <v/>
      </c>
    </row>
    <row r="127" spans="1:40" x14ac:dyDescent="0.25">
      <c r="A127" s="267">
        <v>116</v>
      </c>
      <c r="B127" s="291" t="str">
        <f t="shared" si="54"/>
        <v/>
      </c>
      <c r="C127" s="292" t="str">
        <f t="shared" si="55"/>
        <v/>
      </c>
      <c r="D127" s="293" t="str">
        <f t="shared" si="56"/>
        <v/>
      </c>
      <c r="E127" s="294" t="str">
        <f t="shared" ref="E127:E158" si="61">_xlfn.SINGLE(_xlfn.XLOOKUP(A127,AH$12:AH$211,AA$12:AA$211,""))</f>
        <v/>
      </c>
      <c r="F127" s="295" t="str">
        <f t="shared" si="57"/>
        <v/>
      </c>
      <c r="G127" s="281" t="str">
        <f t="shared" si="58"/>
        <v/>
      </c>
      <c r="H127" s="296" t="str">
        <f t="shared" si="59"/>
        <v/>
      </c>
      <c r="I127" s="297"/>
      <c r="J127" s="298"/>
      <c r="L127" s="267" t="str">
        <f>TB!AG119</f>
        <v>Acorus Calamus</v>
      </c>
      <c r="M127" s="267" t="str">
        <f>TB!AD119</f>
        <v/>
      </c>
      <c r="N127" s="267">
        <f>TB!AT119</f>
        <v>0</v>
      </c>
      <c r="O127" s="267">
        <f>TB!AV119</f>
        <v>38</v>
      </c>
      <c r="P127" s="267">
        <f t="shared" si="39"/>
        <v>0</v>
      </c>
      <c r="Q127" s="267">
        <f t="shared" si="40"/>
        <v>0</v>
      </c>
      <c r="R127" s="267" t="str">
        <f>TB!AU119</f>
        <v>x6</v>
      </c>
      <c r="S127" s="267">
        <f>COUNTIF(N$12:N127,N127)</f>
        <v>116</v>
      </c>
      <c r="T127" s="267">
        <v>1</v>
      </c>
      <c r="U127" s="267">
        <f t="shared" si="41"/>
        <v>200</v>
      </c>
      <c r="V127" s="267" t="str">
        <f t="shared" si="52"/>
        <v>Acorus Calamus0</v>
      </c>
      <c r="W127" s="267" t="str">
        <f t="shared" si="51"/>
        <v/>
      </c>
      <c r="X127" s="267" t="str">
        <f>IF(W127&lt;&gt;"",1+COUNT(X$12:X126),"")</f>
        <v/>
      </c>
      <c r="Y127" s="267" t="str">
        <f t="shared" si="42"/>
        <v/>
      </c>
      <c r="Z127" s="267" t="str">
        <f t="shared" si="43"/>
        <v/>
      </c>
      <c r="AA127" s="267" t="str">
        <f t="shared" si="44"/>
        <v/>
      </c>
      <c r="AB127" s="267" t="str">
        <f t="shared" si="45"/>
        <v/>
      </c>
      <c r="AC127" s="267" t="str">
        <f t="shared" si="46"/>
        <v/>
      </c>
      <c r="AD127" s="267" t="str">
        <f t="shared" si="47"/>
        <v/>
      </c>
      <c r="AE127" s="267" t="str">
        <f t="shared" si="48"/>
        <v/>
      </c>
      <c r="AF127" s="267">
        <f t="shared" si="60"/>
        <v>0</v>
      </c>
      <c r="AG127" s="267" t="str">
        <f t="shared" si="50"/>
        <v/>
      </c>
      <c r="AH127" s="267" t="str">
        <f>IFERROR(RANK(AG127,AG$12:AG$211,1)+COUNTIF(AG$12:AG127,AG127)-1,"")</f>
        <v/>
      </c>
    </row>
    <row r="128" spans="1:40" x14ac:dyDescent="0.25">
      <c r="A128" s="267">
        <v>117</v>
      </c>
      <c r="B128" s="291" t="str">
        <f t="shared" si="54"/>
        <v/>
      </c>
      <c r="C128" s="292" t="str">
        <f t="shared" si="55"/>
        <v/>
      </c>
      <c r="D128" s="293" t="str">
        <f t="shared" si="56"/>
        <v/>
      </c>
      <c r="E128" s="294" t="str">
        <f t="shared" si="61"/>
        <v/>
      </c>
      <c r="F128" s="295" t="str">
        <f t="shared" si="57"/>
        <v/>
      </c>
      <c r="G128" s="281" t="str">
        <f t="shared" si="58"/>
        <v/>
      </c>
      <c r="H128" s="296" t="str">
        <f t="shared" si="59"/>
        <v/>
      </c>
      <c r="I128" s="297"/>
      <c r="J128" s="298"/>
      <c r="L128" s="267" t="str">
        <f>TB!AG120</f>
        <v>Acorus Calamus</v>
      </c>
      <c r="M128" s="267" t="str">
        <f>TB!AD120</f>
        <v/>
      </c>
      <c r="N128" s="267">
        <f>TB!AT120</f>
        <v>0</v>
      </c>
      <c r="O128" s="267">
        <f>TB!AV120</f>
        <v>38</v>
      </c>
      <c r="P128" s="267">
        <f t="shared" si="39"/>
        <v>0</v>
      </c>
      <c r="Q128" s="267">
        <f t="shared" si="40"/>
        <v>0</v>
      </c>
      <c r="R128" s="267" t="str">
        <f>TB!AU120</f>
        <v>x6</v>
      </c>
      <c r="S128" s="267">
        <f>COUNTIF(N$12:N128,N128)</f>
        <v>117</v>
      </c>
      <c r="T128" s="267">
        <v>1</v>
      </c>
      <c r="U128" s="267">
        <f>SUMIFS(T$12:T$211,L$12:L$211,L128,M$12:M$211,M128,N$12:N$211,N128)</f>
        <v>200</v>
      </c>
      <c r="V128" s="267" t="str">
        <f t="shared" si="52"/>
        <v>Acorus Calamus0</v>
      </c>
      <c r="W128" s="267" t="str">
        <f t="shared" si="51"/>
        <v/>
      </c>
      <c r="X128" s="267" t="str">
        <f>IF(W128&lt;&gt;"",1+COUNT(X$12:X127),"")</f>
        <v/>
      </c>
      <c r="Y128" s="267" t="str">
        <f t="shared" si="42"/>
        <v/>
      </c>
      <c r="Z128" s="267" t="str">
        <f t="shared" si="43"/>
        <v/>
      </c>
      <c r="AA128" s="267" t="str">
        <f>IF(X128&lt;&gt;"",U128,"")</f>
        <v/>
      </c>
      <c r="AB128" s="267" t="str">
        <f t="shared" si="45"/>
        <v/>
      </c>
      <c r="AC128" s="267" t="str">
        <f t="shared" si="46"/>
        <v/>
      </c>
      <c r="AD128" s="267" t="str">
        <f t="shared" si="47"/>
        <v/>
      </c>
      <c r="AE128" s="267" t="str">
        <f t="shared" si="48"/>
        <v/>
      </c>
      <c r="AF128" s="267">
        <f t="shared" si="60"/>
        <v>0</v>
      </c>
      <c r="AG128" s="267" t="str">
        <f t="shared" si="50"/>
        <v/>
      </c>
      <c r="AH128" s="267" t="str">
        <f>IFERROR(RANK(AG128,AG$12:AG$211,1)+COUNTIF(AG$12:AG128,AG128)-1,"")</f>
        <v/>
      </c>
    </row>
    <row r="129" spans="1:34" x14ac:dyDescent="0.25">
      <c r="A129" s="267">
        <v>118</v>
      </c>
      <c r="B129" s="291" t="str">
        <f t="shared" si="54"/>
        <v/>
      </c>
      <c r="C129" s="292" t="str">
        <f t="shared" si="55"/>
        <v/>
      </c>
      <c r="D129" s="293" t="str">
        <f t="shared" si="56"/>
        <v/>
      </c>
      <c r="E129" s="294" t="str">
        <f t="shared" si="61"/>
        <v/>
      </c>
      <c r="F129" s="295" t="str">
        <f t="shared" si="57"/>
        <v/>
      </c>
      <c r="G129" s="281" t="str">
        <f t="shared" si="58"/>
        <v/>
      </c>
      <c r="H129" s="296" t="str">
        <f t="shared" si="59"/>
        <v/>
      </c>
      <c r="I129" s="297"/>
      <c r="J129" s="298"/>
      <c r="L129" s="267" t="str">
        <f>TB!AG121</f>
        <v>Acorus Calamus</v>
      </c>
      <c r="M129" s="267" t="str">
        <f>TB!AD121</f>
        <v/>
      </c>
      <c r="N129" s="267">
        <f>TB!AT121</f>
        <v>0</v>
      </c>
      <c r="O129" s="267">
        <f>TB!AV121</f>
        <v>38</v>
      </c>
      <c r="P129" s="267">
        <f t="shared" si="39"/>
        <v>0</v>
      </c>
      <c r="Q129" s="267">
        <f t="shared" si="40"/>
        <v>0</v>
      </c>
      <c r="R129" s="267" t="str">
        <f>TB!AU121</f>
        <v>x6</v>
      </c>
      <c r="S129" s="267">
        <f>COUNTIF(N$12:N129,N129)</f>
        <v>118</v>
      </c>
      <c r="T129" s="267">
        <v>1</v>
      </c>
      <c r="U129" s="267">
        <f t="shared" si="41"/>
        <v>200</v>
      </c>
      <c r="V129" s="267" t="str">
        <f t="shared" si="52"/>
        <v>Acorus Calamus0</v>
      </c>
      <c r="W129" s="267" t="str">
        <f t="shared" si="51"/>
        <v/>
      </c>
      <c r="X129" s="267" t="str">
        <f>IF(W129&lt;&gt;"",1+COUNT(X$12:X128),"")</f>
        <v/>
      </c>
      <c r="Y129" s="267" t="str">
        <f t="shared" si="42"/>
        <v/>
      </c>
      <c r="Z129" s="267" t="str">
        <f t="shared" si="43"/>
        <v/>
      </c>
      <c r="AA129" s="267" t="str">
        <f t="shared" si="44"/>
        <v/>
      </c>
      <c r="AB129" s="267" t="str">
        <f t="shared" si="45"/>
        <v/>
      </c>
      <c r="AC129" s="267" t="str">
        <f t="shared" si="46"/>
        <v/>
      </c>
      <c r="AD129" s="267" t="str">
        <f t="shared" si="47"/>
        <v/>
      </c>
      <c r="AE129" s="267" t="str">
        <f t="shared" si="48"/>
        <v/>
      </c>
      <c r="AF129" s="267">
        <f t="shared" si="60"/>
        <v>0</v>
      </c>
      <c r="AG129" s="267" t="str">
        <f t="shared" si="50"/>
        <v/>
      </c>
      <c r="AH129" s="267" t="str">
        <f>IFERROR(RANK(AG129,AG$12:AG$211,1)+COUNTIF(AG$12:AG129,AG129)-1,"")</f>
        <v/>
      </c>
    </row>
    <row r="130" spans="1:34" x14ac:dyDescent="0.25">
      <c r="A130" s="267">
        <v>119</v>
      </c>
      <c r="B130" s="291" t="str">
        <f t="shared" si="54"/>
        <v/>
      </c>
      <c r="C130" s="292" t="str">
        <f t="shared" si="55"/>
        <v/>
      </c>
      <c r="D130" s="293" t="str">
        <f t="shared" si="56"/>
        <v/>
      </c>
      <c r="E130" s="294" t="str">
        <f t="shared" si="61"/>
        <v/>
      </c>
      <c r="F130" s="295" t="str">
        <f t="shared" si="57"/>
        <v/>
      </c>
      <c r="G130" s="281" t="str">
        <f t="shared" si="58"/>
        <v/>
      </c>
      <c r="H130" s="296" t="str">
        <f t="shared" si="59"/>
        <v/>
      </c>
      <c r="I130" s="297"/>
      <c r="J130" s="298"/>
      <c r="L130" s="267" t="str">
        <f>TB!AG122</f>
        <v>Acorus Calamus</v>
      </c>
      <c r="M130" s="267" t="str">
        <f>TB!AD122</f>
        <v/>
      </c>
      <c r="N130" s="267">
        <f>TB!AT122</f>
        <v>0</v>
      </c>
      <c r="O130" s="267">
        <f>TB!AV122</f>
        <v>38</v>
      </c>
      <c r="P130" s="267">
        <f t="shared" si="39"/>
        <v>0</v>
      </c>
      <c r="Q130" s="267">
        <f t="shared" si="40"/>
        <v>0</v>
      </c>
      <c r="R130" s="267" t="str">
        <f>TB!AU122</f>
        <v>x6</v>
      </c>
      <c r="S130" s="267">
        <f>COUNTIF(N$12:N130,N130)</f>
        <v>119</v>
      </c>
      <c r="T130" s="267">
        <v>1</v>
      </c>
      <c r="U130" s="267">
        <f t="shared" si="41"/>
        <v>200</v>
      </c>
      <c r="V130" s="267" t="str">
        <f t="shared" si="52"/>
        <v>Acorus Calamus0</v>
      </c>
      <c r="W130" s="267" t="str">
        <f t="shared" si="51"/>
        <v/>
      </c>
      <c r="X130" s="267" t="str">
        <f>IF(W130&lt;&gt;"",1+COUNT(X$12:X129),"")</f>
        <v/>
      </c>
      <c r="Y130" s="267" t="str">
        <f t="shared" si="42"/>
        <v/>
      </c>
      <c r="Z130" s="267" t="str">
        <f t="shared" si="43"/>
        <v/>
      </c>
      <c r="AA130" s="267" t="str">
        <f t="shared" si="44"/>
        <v/>
      </c>
      <c r="AB130" s="267" t="str">
        <f t="shared" si="45"/>
        <v/>
      </c>
      <c r="AC130" s="267" t="str">
        <f t="shared" si="46"/>
        <v/>
      </c>
      <c r="AD130" s="267" t="str">
        <f t="shared" si="47"/>
        <v/>
      </c>
      <c r="AE130" s="267" t="str">
        <f t="shared" si="48"/>
        <v/>
      </c>
      <c r="AF130" s="267">
        <f t="shared" si="60"/>
        <v>0</v>
      </c>
      <c r="AG130" s="267" t="str">
        <f t="shared" si="50"/>
        <v/>
      </c>
      <c r="AH130" s="267" t="str">
        <f>IFERROR(RANK(AG130,AG$12:AG$211,1)+COUNTIF(AG$12:AG130,AG130)-1,"")</f>
        <v/>
      </c>
    </row>
    <row r="131" spans="1:34" x14ac:dyDescent="0.25">
      <c r="A131" s="267">
        <v>120</v>
      </c>
      <c r="B131" s="291" t="str">
        <f t="shared" si="54"/>
        <v/>
      </c>
      <c r="C131" s="292" t="str">
        <f t="shared" si="55"/>
        <v/>
      </c>
      <c r="D131" s="293" t="str">
        <f t="shared" si="56"/>
        <v/>
      </c>
      <c r="E131" s="294" t="str">
        <f t="shared" si="61"/>
        <v/>
      </c>
      <c r="F131" s="295" t="str">
        <f t="shared" si="57"/>
        <v/>
      </c>
      <c r="G131" s="281" t="str">
        <f t="shared" si="58"/>
        <v/>
      </c>
      <c r="H131" s="296" t="str">
        <f t="shared" si="59"/>
        <v/>
      </c>
      <c r="I131" s="297"/>
      <c r="J131" s="298"/>
      <c r="L131" s="267" t="str">
        <f>TB!AG123</f>
        <v>Acorus Calamus</v>
      </c>
      <c r="M131" s="267" t="str">
        <f>TB!AD123</f>
        <v/>
      </c>
      <c r="N131" s="267">
        <f>TB!AT123</f>
        <v>0</v>
      </c>
      <c r="O131" s="267">
        <f>TB!AV123</f>
        <v>38</v>
      </c>
      <c r="P131" s="267">
        <f t="shared" si="39"/>
        <v>0</v>
      </c>
      <c r="Q131" s="267">
        <f t="shared" si="40"/>
        <v>0</v>
      </c>
      <c r="R131" s="267" t="str">
        <f>TB!AU123</f>
        <v>x6</v>
      </c>
      <c r="S131" s="267">
        <f>COUNTIF(N$12:N131,N131)</f>
        <v>120</v>
      </c>
      <c r="T131" s="267">
        <v>1</v>
      </c>
      <c r="U131" s="267">
        <f t="shared" si="41"/>
        <v>200</v>
      </c>
      <c r="V131" s="267" t="str">
        <f t="shared" si="52"/>
        <v>Acorus Calamus0</v>
      </c>
      <c r="W131" s="267" t="str">
        <f t="shared" si="51"/>
        <v/>
      </c>
      <c r="X131" s="267" t="str">
        <f>IF(W131&lt;&gt;"",1+COUNT(X$12:X130),"")</f>
        <v/>
      </c>
      <c r="Y131" s="267" t="str">
        <f t="shared" si="42"/>
        <v/>
      </c>
      <c r="Z131" s="267" t="str">
        <f t="shared" si="43"/>
        <v/>
      </c>
      <c r="AA131" s="267" t="str">
        <f t="shared" si="44"/>
        <v/>
      </c>
      <c r="AB131" s="267" t="str">
        <f t="shared" si="45"/>
        <v/>
      </c>
      <c r="AC131" s="267" t="str">
        <f t="shared" si="46"/>
        <v/>
      </c>
      <c r="AD131" s="267" t="str">
        <f t="shared" si="47"/>
        <v/>
      </c>
      <c r="AE131" s="267" t="str">
        <f t="shared" si="48"/>
        <v/>
      </c>
      <c r="AF131" s="267">
        <f t="shared" si="60"/>
        <v>0</v>
      </c>
      <c r="AG131" s="267" t="str">
        <f t="shared" si="50"/>
        <v/>
      </c>
      <c r="AH131" s="267" t="str">
        <f>IFERROR(RANK(AG131,AG$12:AG$211,1)+COUNTIF(AG$12:AG131,AG131)-1,"")</f>
        <v/>
      </c>
    </row>
    <row r="132" spans="1:34" x14ac:dyDescent="0.25">
      <c r="A132" s="267">
        <v>121</v>
      </c>
      <c r="B132" s="291" t="str">
        <f t="shared" si="54"/>
        <v/>
      </c>
      <c r="C132" s="292" t="str">
        <f t="shared" si="55"/>
        <v/>
      </c>
      <c r="D132" s="293" t="str">
        <f t="shared" si="56"/>
        <v/>
      </c>
      <c r="E132" s="294" t="str">
        <f t="shared" si="61"/>
        <v/>
      </c>
      <c r="F132" s="295" t="str">
        <f t="shared" si="57"/>
        <v/>
      </c>
      <c r="G132" s="281" t="str">
        <f t="shared" si="58"/>
        <v/>
      </c>
      <c r="H132" s="296" t="str">
        <f t="shared" si="59"/>
        <v/>
      </c>
      <c r="I132" s="297"/>
      <c r="J132" s="298"/>
      <c r="L132" s="267" t="str">
        <f>TB!AG124</f>
        <v>Acorus Calamus</v>
      </c>
      <c r="M132" s="267" t="str">
        <f>TB!AD124</f>
        <v/>
      </c>
      <c r="N132" s="267">
        <f>TB!AT124</f>
        <v>0</v>
      </c>
      <c r="O132" s="267">
        <f>TB!AV124</f>
        <v>38</v>
      </c>
      <c r="P132" s="267">
        <f t="shared" si="39"/>
        <v>0</v>
      </c>
      <c r="Q132" s="267">
        <f t="shared" si="40"/>
        <v>0</v>
      </c>
      <c r="R132" s="267" t="str">
        <f>TB!AU124</f>
        <v>x6</v>
      </c>
      <c r="S132" s="267">
        <f>COUNTIF(N$12:N132,N132)</f>
        <v>121</v>
      </c>
      <c r="T132" s="267">
        <v>1</v>
      </c>
      <c r="U132" s="267">
        <f t="shared" si="41"/>
        <v>200</v>
      </c>
      <c r="V132" s="267" t="str">
        <f t="shared" si="52"/>
        <v>Acorus Calamus0</v>
      </c>
      <c r="W132" s="267" t="str">
        <f t="shared" si="51"/>
        <v/>
      </c>
      <c r="X132" s="267" t="str">
        <f>IF(W132&lt;&gt;"",1+COUNT(X$12:X131),"")</f>
        <v/>
      </c>
      <c r="Y132" s="267" t="str">
        <f t="shared" si="42"/>
        <v/>
      </c>
      <c r="Z132" s="267" t="str">
        <f t="shared" si="43"/>
        <v/>
      </c>
      <c r="AA132" s="267" t="str">
        <f t="shared" si="44"/>
        <v/>
      </c>
      <c r="AB132" s="267" t="str">
        <f t="shared" si="45"/>
        <v/>
      </c>
      <c r="AC132" s="267" t="str">
        <f t="shared" si="46"/>
        <v/>
      </c>
      <c r="AD132" s="267" t="str">
        <f t="shared" si="47"/>
        <v/>
      </c>
      <c r="AE132" s="267" t="str">
        <f t="shared" si="48"/>
        <v/>
      </c>
      <c r="AF132" s="267">
        <f t="shared" si="60"/>
        <v>0</v>
      </c>
      <c r="AG132" s="267" t="str">
        <f t="shared" si="50"/>
        <v/>
      </c>
      <c r="AH132" s="267" t="str">
        <f>IFERROR(RANK(AG132,AG$12:AG$211,1)+COUNTIF(AG$12:AG132,AG132)-1,"")</f>
        <v/>
      </c>
    </row>
    <row r="133" spans="1:34" x14ac:dyDescent="0.25">
      <c r="A133" s="267">
        <v>122</v>
      </c>
      <c r="B133" s="291" t="str">
        <f t="shared" si="54"/>
        <v/>
      </c>
      <c r="C133" s="292" t="str">
        <f t="shared" si="55"/>
        <v/>
      </c>
      <c r="D133" s="293" t="str">
        <f t="shared" si="56"/>
        <v/>
      </c>
      <c r="E133" s="294" t="str">
        <f t="shared" si="61"/>
        <v/>
      </c>
      <c r="F133" s="295" t="str">
        <f t="shared" si="57"/>
        <v/>
      </c>
      <c r="G133" s="281" t="str">
        <f t="shared" si="58"/>
        <v/>
      </c>
      <c r="H133" s="296" t="str">
        <f t="shared" si="59"/>
        <v/>
      </c>
      <c r="I133" s="297"/>
      <c r="J133" s="298"/>
      <c r="L133" s="267" t="str">
        <f>TB!AG125</f>
        <v>Acorus Calamus</v>
      </c>
      <c r="M133" s="267" t="str">
        <f>TB!AD125</f>
        <v/>
      </c>
      <c r="N133" s="267">
        <f>TB!AT125</f>
        <v>0</v>
      </c>
      <c r="O133" s="267">
        <f>TB!AV125</f>
        <v>38</v>
      </c>
      <c r="P133" s="267">
        <f t="shared" si="39"/>
        <v>0</v>
      </c>
      <c r="Q133" s="267">
        <f t="shared" si="40"/>
        <v>0</v>
      </c>
      <c r="R133" s="267" t="str">
        <f>TB!AU125</f>
        <v>x6</v>
      </c>
      <c r="S133" s="267">
        <f>COUNTIF(N$12:N133,N133)</f>
        <v>122</v>
      </c>
      <c r="T133" s="267">
        <v>1</v>
      </c>
      <c r="U133" s="267">
        <f t="shared" si="41"/>
        <v>200</v>
      </c>
      <c r="V133" s="267" t="str">
        <f t="shared" si="52"/>
        <v>Acorus Calamus0</v>
      </c>
      <c r="W133" s="267" t="str">
        <f t="shared" si="51"/>
        <v/>
      </c>
      <c r="X133" s="267" t="str">
        <f>IF(W133&lt;&gt;"",1+COUNT(X$12:X132),"")</f>
        <v/>
      </c>
      <c r="Y133" s="267" t="str">
        <f t="shared" si="42"/>
        <v/>
      </c>
      <c r="Z133" s="267" t="str">
        <f t="shared" si="43"/>
        <v/>
      </c>
      <c r="AA133" s="267" t="str">
        <f t="shared" si="44"/>
        <v/>
      </c>
      <c r="AB133" s="267" t="str">
        <f t="shared" si="45"/>
        <v/>
      </c>
      <c r="AC133" s="267" t="str">
        <f t="shared" si="46"/>
        <v/>
      </c>
      <c r="AD133" s="267" t="str">
        <f t="shared" si="47"/>
        <v/>
      </c>
      <c r="AE133" s="267" t="str">
        <f t="shared" si="48"/>
        <v/>
      </c>
      <c r="AF133" s="267">
        <f t="shared" si="60"/>
        <v>0</v>
      </c>
      <c r="AG133" s="267" t="str">
        <f t="shared" si="50"/>
        <v/>
      </c>
      <c r="AH133" s="267" t="str">
        <f>IFERROR(RANK(AG133,AG$12:AG$211,1)+COUNTIF(AG$12:AG133,AG133)-1,"")</f>
        <v/>
      </c>
    </row>
    <row r="134" spans="1:34" x14ac:dyDescent="0.25">
      <c r="A134" s="267">
        <v>123</v>
      </c>
      <c r="B134" s="291" t="str">
        <f t="shared" si="54"/>
        <v/>
      </c>
      <c r="C134" s="292" t="str">
        <f t="shared" si="55"/>
        <v/>
      </c>
      <c r="D134" s="293" t="str">
        <f t="shared" si="56"/>
        <v/>
      </c>
      <c r="E134" s="294" t="str">
        <f t="shared" si="61"/>
        <v/>
      </c>
      <c r="F134" s="295" t="str">
        <f t="shared" si="57"/>
        <v/>
      </c>
      <c r="G134" s="281" t="str">
        <f t="shared" si="58"/>
        <v/>
      </c>
      <c r="H134" s="296" t="str">
        <f t="shared" si="59"/>
        <v/>
      </c>
      <c r="I134" s="297"/>
      <c r="J134" s="298"/>
      <c r="L134" s="267" t="str">
        <f>TB!AG126</f>
        <v>Acorus Calamus</v>
      </c>
      <c r="M134" s="267" t="str">
        <f>TB!AD126</f>
        <v/>
      </c>
      <c r="N134" s="267">
        <f>TB!AT126</f>
        <v>0</v>
      </c>
      <c r="O134" s="267">
        <f>TB!AV126</f>
        <v>38</v>
      </c>
      <c r="P134" s="267">
        <f t="shared" si="39"/>
        <v>0</v>
      </c>
      <c r="Q134" s="267">
        <f t="shared" si="40"/>
        <v>0</v>
      </c>
      <c r="R134" s="267" t="str">
        <f>TB!AU126</f>
        <v>x6</v>
      </c>
      <c r="S134" s="267">
        <f>COUNTIF(N$12:N134,N134)</f>
        <v>123</v>
      </c>
      <c r="T134" s="267">
        <v>1</v>
      </c>
      <c r="U134" s="267">
        <f t="shared" si="41"/>
        <v>200</v>
      </c>
      <c r="V134" s="267" t="str">
        <f t="shared" si="52"/>
        <v>Acorus Calamus0</v>
      </c>
      <c r="W134" s="267" t="str">
        <f t="shared" si="51"/>
        <v/>
      </c>
      <c r="X134" s="267" t="str">
        <f>IF(W134&lt;&gt;"",1+COUNT(X$12:X133),"")</f>
        <v/>
      </c>
      <c r="Y134" s="267" t="str">
        <f t="shared" si="42"/>
        <v/>
      </c>
      <c r="Z134" s="267" t="str">
        <f t="shared" si="43"/>
        <v/>
      </c>
      <c r="AA134" s="267" t="str">
        <f t="shared" si="44"/>
        <v/>
      </c>
      <c r="AB134" s="267" t="str">
        <f t="shared" si="45"/>
        <v/>
      </c>
      <c r="AC134" s="267" t="str">
        <f t="shared" si="46"/>
        <v/>
      </c>
      <c r="AD134" s="267" t="str">
        <f t="shared" si="47"/>
        <v/>
      </c>
      <c r="AE134" s="267" t="str">
        <f t="shared" si="48"/>
        <v/>
      </c>
      <c r="AF134" s="267">
        <f t="shared" si="60"/>
        <v>0</v>
      </c>
      <c r="AG134" s="267" t="str">
        <f t="shared" si="50"/>
        <v/>
      </c>
      <c r="AH134" s="267" t="str">
        <f>IFERROR(RANK(AG134,AG$12:AG$211,1)+COUNTIF(AG$12:AG134,AG134)-1,"")</f>
        <v/>
      </c>
    </row>
    <row r="135" spans="1:34" x14ac:dyDescent="0.25">
      <c r="A135" s="267">
        <v>124</v>
      </c>
      <c r="B135" s="291" t="str">
        <f t="shared" si="54"/>
        <v/>
      </c>
      <c r="C135" s="292" t="str">
        <f t="shared" si="55"/>
        <v/>
      </c>
      <c r="D135" s="293" t="str">
        <f t="shared" si="56"/>
        <v/>
      </c>
      <c r="E135" s="294" t="str">
        <f t="shared" si="61"/>
        <v/>
      </c>
      <c r="F135" s="295" t="str">
        <f t="shared" si="57"/>
        <v/>
      </c>
      <c r="G135" s="281" t="str">
        <f t="shared" si="58"/>
        <v/>
      </c>
      <c r="H135" s="296" t="str">
        <f t="shared" si="59"/>
        <v/>
      </c>
      <c r="I135" s="297"/>
      <c r="J135" s="298"/>
      <c r="L135" s="267" t="str">
        <f>TB!AG127</f>
        <v>Acorus Calamus</v>
      </c>
      <c r="M135" s="267" t="str">
        <f>TB!AD127</f>
        <v/>
      </c>
      <c r="N135" s="267">
        <f>TB!AT127</f>
        <v>0</v>
      </c>
      <c r="O135" s="267">
        <f>TB!AV127</f>
        <v>38</v>
      </c>
      <c r="P135" s="267">
        <f t="shared" si="39"/>
        <v>0</v>
      </c>
      <c r="Q135" s="267">
        <f t="shared" si="40"/>
        <v>0</v>
      </c>
      <c r="R135" s="267" t="str">
        <f>TB!AU127</f>
        <v>x6</v>
      </c>
      <c r="S135" s="267">
        <f>COUNTIF(N$12:N135,N135)</f>
        <v>124</v>
      </c>
      <c r="T135" s="267">
        <v>1</v>
      </c>
      <c r="U135" s="267">
        <f t="shared" si="41"/>
        <v>200</v>
      </c>
      <c r="V135" s="267" t="str">
        <f t="shared" si="52"/>
        <v>Acorus Calamus0</v>
      </c>
      <c r="W135" s="267" t="str">
        <f t="shared" si="51"/>
        <v/>
      </c>
      <c r="X135" s="267" t="str">
        <f>IF(W135&lt;&gt;"",1+COUNT(X$12:X134),"")</f>
        <v/>
      </c>
      <c r="Y135" s="267" t="str">
        <f t="shared" si="42"/>
        <v/>
      </c>
      <c r="Z135" s="267" t="str">
        <f t="shared" si="43"/>
        <v/>
      </c>
      <c r="AA135" s="267" t="str">
        <f t="shared" si="44"/>
        <v/>
      </c>
      <c r="AB135" s="267" t="str">
        <f t="shared" si="45"/>
        <v/>
      </c>
      <c r="AC135" s="267" t="str">
        <f t="shared" si="46"/>
        <v/>
      </c>
      <c r="AD135" s="267" t="str">
        <f t="shared" si="47"/>
        <v/>
      </c>
      <c r="AE135" s="267" t="str">
        <f t="shared" si="48"/>
        <v/>
      </c>
      <c r="AF135" s="267">
        <f t="shared" si="60"/>
        <v>0</v>
      </c>
      <c r="AG135" s="267" t="str">
        <f t="shared" si="50"/>
        <v/>
      </c>
      <c r="AH135" s="267" t="str">
        <f>IFERROR(RANK(AG135,AG$12:AG$211,1)+COUNTIF(AG$12:AG135,AG135)-1,"")</f>
        <v/>
      </c>
    </row>
    <row r="136" spans="1:34" x14ac:dyDescent="0.25">
      <c r="A136" s="267">
        <v>125</v>
      </c>
      <c r="B136" s="291" t="str">
        <f t="shared" si="54"/>
        <v/>
      </c>
      <c r="C136" s="292" t="str">
        <f t="shared" si="55"/>
        <v/>
      </c>
      <c r="D136" s="293" t="str">
        <f t="shared" si="56"/>
        <v/>
      </c>
      <c r="E136" s="294" t="str">
        <f t="shared" si="61"/>
        <v/>
      </c>
      <c r="F136" s="295" t="str">
        <f t="shared" si="57"/>
        <v/>
      </c>
      <c r="G136" s="281" t="str">
        <f t="shared" si="58"/>
        <v/>
      </c>
      <c r="H136" s="296" t="str">
        <f t="shared" si="59"/>
        <v/>
      </c>
      <c r="I136" s="297"/>
      <c r="J136" s="298"/>
      <c r="L136" s="267" t="str">
        <f>TB!AG128</f>
        <v>Acorus Calamus</v>
      </c>
      <c r="M136" s="267" t="str">
        <f>TB!AD128</f>
        <v/>
      </c>
      <c r="N136" s="267">
        <f>TB!AT128</f>
        <v>0</v>
      </c>
      <c r="O136" s="267">
        <f>TB!AV128</f>
        <v>38</v>
      </c>
      <c r="P136" s="267">
        <f t="shared" si="39"/>
        <v>0</v>
      </c>
      <c r="Q136" s="267">
        <f t="shared" si="40"/>
        <v>0</v>
      </c>
      <c r="R136" s="267" t="str">
        <f>TB!AU128</f>
        <v>x6</v>
      </c>
      <c r="S136" s="267">
        <f>COUNTIF(N$12:N136,N136)</f>
        <v>125</v>
      </c>
      <c r="T136" s="267">
        <v>1</v>
      </c>
      <c r="U136" s="267">
        <f t="shared" si="41"/>
        <v>200</v>
      </c>
      <c r="V136" s="267" t="str">
        <f t="shared" si="52"/>
        <v>Acorus Calamus0</v>
      </c>
      <c r="W136" s="267" t="str">
        <f t="shared" si="51"/>
        <v/>
      </c>
      <c r="X136" s="267" t="str">
        <f>IF(W136&lt;&gt;"",1+COUNT(X$12:X135),"")</f>
        <v/>
      </c>
      <c r="Y136" s="267" t="str">
        <f t="shared" si="42"/>
        <v/>
      </c>
      <c r="Z136" s="267" t="str">
        <f t="shared" si="43"/>
        <v/>
      </c>
      <c r="AA136" s="267" t="str">
        <f t="shared" si="44"/>
        <v/>
      </c>
      <c r="AB136" s="267" t="str">
        <f t="shared" si="45"/>
        <v/>
      </c>
      <c r="AC136" s="267" t="str">
        <f t="shared" si="46"/>
        <v/>
      </c>
      <c r="AD136" s="267" t="str">
        <f t="shared" si="47"/>
        <v/>
      </c>
      <c r="AE136" s="267" t="str">
        <f t="shared" si="48"/>
        <v/>
      </c>
      <c r="AF136" s="267">
        <f t="shared" si="60"/>
        <v>0</v>
      </c>
      <c r="AG136" s="267" t="str">
        <f t="shared" si="50"/>
        <v/>
      </c>
      <c r="AH136" s="267" t="str">
        <f>IFERROR(RANK(AG136,AG$12:AG$211,1)+COUNTIF(AG$12:AG136,AG136)-1,"")</f>
        <v/>
      </c>
    </row>
    <row r="137" spans="1:34" x14ac:dyDescent="0.25">
      <c r="A137" s="267">
        <v>126</v>
      </c>
      <c r="B137" s="291" t="str">
        <f t="shared" si="54"/>
        <v/>
      </c>
      <c r="C137" s="292" t="str">
        <f t="shared" si="55"/>
        <v/>
      </c>
      <c r="D137" s="293" t="str">
        <f t="shared" si="56"/>
        <v/>
      </c>
      <c r="E137" s="294" t="str">
        <f t="shared" si="61"/>
        <v/>
      </c>
      <c r="F137" s="295" t="str">
        <f t="shared" si="57"/>
        <v/>
      </c>
      <c r="G137" s="281" t="str">
        <f t="shared" si="58"/>
        <v/>
      </c>
      <c r="H137" s="296" t="str">
        <f t="shared" si="59"/>
        <v/>
      </c>
      <c r="I137" s="297"/>
      <c r="J137" s="298"/>
      <c r="L137" s="267" t="str">
        <f>TB!AG129</f>
        <v>Acorus Calamus</v>
      </c>
      <c r="M137" s="267" t="str">
        <f>TB!AD129</f>
        <v/>
      </c>
      <c r="N137" s="267">
        <f>TB!AT129</f>
        <v>0</v>
      </c>
      <c r="O137" s="267">
        <f>TB!AV129</f>
        <v>38</v>
      </c>
      <c r="P137" s="267">
        <f t="shared" si="39"/>
        <v>0</v>
      </c>
      <c r="Q137" s="267">
        <f t="shared" si="40"/>
        <v>0</v>
      </c>
      <c r="R137" s="267" t="str">
        <f>TB!AU129</f>
        <v>x6</v>
      </c>
      <c r="S137" s="267">
        <f>COUNTIF(N$12:N137,N137)</f>
        <v>126</v>
      </c>
      <c r="T137" s="267">
        <v>1</v>
      </c>
      <c r="U137" s="267">
        <f t="shared" si="41"/>
        <v>200</v>
      </c>
      <c r="V137" s="267" t="str">
        <f t="shared" si="52"/>
        <v>Acorus Calamus0</v>
      </c>
      <c r="W137" s="267" t="str">
        <f t="shared" si="51"/>
        <v/>
      </c>
      <c r="X137" s="267" t="str">
        <f>IF(W137&lt;&gt;"",1+COUNT(X$12:X136),"")</f>
        <v/>
      </c>
      <c r="Y137" s="267" t="str">
        <f t="shared" si="42"/>
        <v/>
      </c>
      <c r="Z137" s="267" t="str">
        <f t="shared" si="43"/>
        <v/>
      </c>
      <c r="AA137" s="267" t="str">
        <f t="shared" si="44"/>
        <v/>
      </c>
      <c r="AB137" s="267" t="str">
        <f t="shared" si="45"/>
        <v/>
      </c>
      <c r="AC137" s="267" t="str">
        <f t="shared" si="46"/>
        <v/>
      </c>
      <c r="AD137" s="267" t="str">
        <f t="shared" si="47"/>
        <v/>
      </c>
      <c r="AE137" s="267" t="str">
        <f t="shared" si="48"/>
        <v/>
      </c>
      <c r="AF137" s="267">
        <f t="shared" si="60"/>
        <v>0</v>
      </c>
      <c r="AG137" s="267" t="str">
        <f t="shared" si="50"/>
        <v/>
      </c>
      <c r="AH137" s="267" t="str">
        <f>IFERROR(RANK(AG137,AG$12:AG$211,1)+COUNTIF(AG$12:AG137,AG137)-1,"")</f>
        <v/>
      </c>
    </row>
    <row r="138" spans="1:34" x14ac:dyDescent="0.25">
      <c r="A138" s="267">
        <v>127</v>
      </c>
      <c r="B138" s="291" t="str">
        <f t="shared" si="54"/>
        <v/>
      </c>
      <c r="C138" s="292" t="str">
        <f t="shared" si="55"/>
        <v/>
      </c>
      <c r="D138" s="293" t="str">
        <f t="shared" si="56"/>
        <v/>
      </c>
      <c r="E138" s="294" t="str">
        <f t="shared" si="61"/>
        <v/>
      </c>
      <c r="F138" s="295" t="str">
        <f t="shared" si="57"/>
        <v/>
      </c>
      <c r="G138" s="281" t="str">
        <f t="shared" si="58"/>
        <v/>
      </c>
      <c r="H138" s="296" t="str">
        <f t="shared" si="59"/>
        <v/>
      </c>
      <c r="I138" s="297"/>
      <c r="J138" s="298"/>
      <c r="L138" s="267" t="str">
        <f>TB!AG130</f>
        <v>Acorus Calamus</v>
      </c>
      <c r="M138" s="267" t="str">
        <f>TB!AD130</f>
        <v/>
      </c>
      <c r="N138" s="267">
        <f>TB!AT130</f>
        <v>0</v>
      </c>
      <c r="O138" s="267">
        <f>TB!AV130</f>
        <v>38</v>
      </c>
      <c r="P138" s="267">
        <f t="shared" si="39"/>
        <v>0</v>
      </c>
      <c r="Q138" s="267">
        <f t="shared" si="40"/>
        <v>0</v>
      </c>
      <c r="R138" s="267" t="str">
        <f>TB!AU130</f>
        <v>x6</v>
      </c>
      <c r="S138" s="267">
        <f>COUNTIF(N$12:N138,N138)</f>
        <v>127</v>
      </c>
      <c r="T138" s="267">
        <v>1</v>
      </c>
      <c r="U138" s="267">
        <f t="shared" si="41"/>
        <v>200</v>
      </c>
      <c r="V138" s="267" t="str">
        <f t="shared" si="52"/>
        <v>Acorus Calamus0</v>
      </c>
      <c r="W138" s="267" t="str">
        <f t="shared" si="51"/>
        <v/>
      </c>
      <c r="X138" s="267" t="str">
        <f>IF(W138&lt;&gt;"",1+COUNT(X$12:X137),"")</f>
        <v/>
      </c>
      <c r="Y138" s="267" t="str">
        <f t="shared" si="42"/>
        <v/>
      </c>
      <c r="Z138" s="267" t="str">
        <f t="shared" si="43"/>
        <v/>
      </c>
      <c r="AA138" s="267" t="str">
        <f t="shared" si="44"/>
        <v/>
      </c>
      <c r="AB138" s="267" t="str">
        <f t="shared" si="45"/>
        <v/>
      </c>
      <c r="AC138" s="267" t="str">
        <f t="shared" si="46"/>
        <v/>
      </c>
      <c r="AD138" s="267" t="str">
        <f t="shared" si="47"/>
        <v/>
      </c>
      <c r="AE138" s="267" t="str">
        <f t="shared" si="48"/>
        <v/>
      </c>
      <c r="AF138" s="267">
        <f t="shared" si="60"/>
        <v>0</v>
      </c>
      <c r="AG138" s="267" t="str">
        <f t="shared" si="50"/>
        <v/>
      </c>
      <c r="AH138" s="267" t="str">
        <f>IFERROR(RANK(AG138,AG$12:AG$211,1)+COUNTIF(AG$12:AG138,AG138)-1,"")</f>
        <v/>
      </c>
    </row>
    <row r="139" spans="1:34" x14ac:dyDescent="0.25">
      <c r="A139" s="267">
        <v>128</v>
      </c>
      <c r="B139" s="291" t="str">
        <f t="shared" si="54"/>
        <v/>
      </c>
      <c r="C139" s="292" t="str">
        <f t="shared" si="55"/>
        <v/>
      </c>
      <c r="D139" s="293" t="str">
        <f t="shared" si="56"/>
        <v/>
      </c>
      <c r="E139" s="294" t="str">
        <f t="shared" si="61"/>
        <v/>
      </c>
      <c r="F139" s="295" t="str">
        <f t="shared" si="57"/>
        <v/>
      </c>
      <c r="G139" s="281" t="str">
        <f t="shared" si="58"/>
        <v/>
      </c>
      <c r="H139" s="296" t="str">
        <f t="shared" si="59"/>
        <v/>
      </c>
      <c r="I139" s="297"/>
      <c r="J139" s="298"/>
      <c r="L139" s="267" t="str">
        <f>TB!AG131</f>
        <v>Acorus Calamus</v>
      </c>
      <c r="M139" s="267" t="str">
        <f>TB!AD131</f>
        <v/>
      </c>
      <c r="N139" s="267">
        <f>TB!AT131</f>
        <v>0</v>
      </c>
      <c r="O139" s="267">
        <f>TB!AV131</f>
        <v>38</v>
      </c>
      <c r="P139" s="267">
        <f t="shared" si="39"/>
        <v>0</v>
      </c>
      <c r="Q139" s="267">
        <f t="shared" si="40"/>
        <v>0</v>
      </c>
      <c r="R139" s="267" t="str">
        <f>TB!AU131</f>
        <v>x6</v>
      </c>
      <c r="S139" s="267">
        <f>COUNTIF(N$12:N139,N139)</f>
        <v>128</v>
      </c>
      <c r="T139" s="267">
        <v>1</v>
      </c>
      <c r="U139" s="267">
        <f t="shared" si="41"/>
        <v>200</v>
      </c>
      <c r="V139" s="267" t="str">
        <f t="shared" si="52"/>
        <v>Acorus Calamus0</v>
      </c>
      <c r="W139" s="267" t="str">
        <f t="shared" si="51"/>
        <v/>
      </c>
      <c r="X139" s="267" t="str">
        <f>IF(W139&lt;&gt;"",1+COUNT(X$12:X138),"")</f>
        <v/>
      </c>
      <c r="Y139" s="267" t="str">
        <f t="shared" si="42"/>
        <v/>
      </c>
      <c r="Z139" s="267" t="str">
        <f t="shared" si="43"/>
        <v/>
      </c>
      <c r="AA139" s="267" t="str">
        <f t="shared" si="44"/>
        <v/>
      </c>
      <c r="AB139" s="267" t="str">
        <f t="shared" si="45"/>
        <v/>
      </c>
      <c r="AC139" s="267" t="str">
        <f t="shared" si="46"/>
        <v/>
      </c>
      <c r="AD139" s="267" t="str">
        <f t="shared" si="47"/>
        <v/>
      </c>
      <c r="AE139" s="267" t="str">
        <f t="shared" si="48"/>
        <v/>
      </c>
      <c r="AF139" s="267">
        <f t="shared" si="60"/>
        <v>0</v>
      </c>
      <c r="AG139" s="267" t="str">
        <f t="shared" si="50"/>
        <v/>
      </c>
      <c r="AH139" s="267" t="str">
        <f>IFERROR(RANK(AG139,AG$12:AG$211,1)+COUNTIF(AG$12:AG139,AG139)-1,"")</f>
        <v/>
      </c>
    </row>
    <row r="140" spans="1:34" x14ac:dyDescent="0.25">
      <c r="A140" s="267">
        <v>129</v>
      </c>
      <c r="B140" s="291" t="str">
        <f t="shared" ref="B140:B171" si="62">_xlfn.SINGLE(_xlfn.XLOOKUP(A140,AH$12:AH$211,Z$12:Z$211,""))</f>
        <v/>
      </c>
      <c r="C140" s="292" t="str">
        <f t="shared" ref="C140:C171" si="63">_xlfn.SINGLE(_xlfn.XLOOKUP(A140,AH$12:AH$211,AE$12:AE$211,""))</f>
        <v/>
      </c>
      <c r="D140" s="293" t="str">
        <f t="shared" si="56"/>
        <v/>
      </c>
      <c r="E140" s="294" t="str">
        <f t="shared" si="61"/>
        <v/>
      </c>
      <c r="F140" s="295" t="str">
        <f t="shared" si="57"/>
        <v/>
      </c>
      <c r="G140" s="281" t="str">
        <f t="shared" si="58"/>
        <v/>
      </c>
      <c r="H140" s="296" t="str">
        <f t="shared" si="59"/>
        <v/>
      </c>
      <c r="I140" s="297"/>
      <c r="J140" s="298"/>
      <c r="L140" s="267" t="str">
        <f>TB!AG132</f>
        <v>Acorus Calamus</v>
      </c>
      <c r="M140" s="267" t="str">
        <f>TB!AD132</f>
        <v/>
      </c>
      <c r="N140" s="267">
        <f>TB!AT132</f>
        <v>0</v>
      </c>
      <c r="O140" s="267">
        <f>TB!AV132</f>
        <v>38</v>
      </c>
      <c r="P140" s="267">
        <f t="shared" si="39"/>
        <v>0</v>
      </c>
      <c r="Q140" s="267">
        <f t="shared" si="40"/>
        <v>0</v>
      </c>
      <c r="R140" s="267" t="str">
        <f>TB!AU132</f>
        <v>x6</v>
      </c>
      <c r="S140" s="267">
        <f>COUNTIF(N$12:N140,N140)</f>
        <v>129</v>
      </c>
      <c r="T140" s="267">
        <v>1</v>
      </c>
      <c r="U140" s="267">
        <f t="shared" si="41"/>
        <v>200</v>
      </c>
      <c r="V140" s="267" t="str">
        <f t="shared" si="52"/>
        <v>Acorus Calamus0</v>
      </c>
      <c r="W140" s="267" t="str">
        <f t="shared" si="51"/>
        <v/>
      </c>
      <c r="X140" s="267" t="str">
        <f>IF(W140&lt;&gt;"",1+COUNT(X$12:X139),"")</f>
        <v/>
      </c>
      <c r="Y140" s="267" t="str">
        <f t="shared" si="42"/>
        <v/>
      </c>
      <c r="Z140" s="267" t="str">
        <f t="shared" si="43"/>
        <v/>
      </c>
      <c r="AA140" s="267" t="str">
        <f t="shared" si="44"/>
        <v/>
      </c>
      <c r="AB140" s="267" t="str">
        <f t="shared" si="45"/>
        <v/>
      </c>
      <c r="AC140" s="267" t="str">
        <f t="shared" si="46"/>
        <v/>
      </c>
      <c r="AD140" s="267" t="str">
        <f t="shared" si="47"/>
        <v/>
      </c>
      <c r="AE140" s="267" t="str">
        <f t="shared" si="48"/>
        <v/>
      </c>
      <c r="AF140" s="267">
        <f t="shared" si="60"/>
        <v>0</v>
      </c>
      <c r="AG140" s="267" t="str">
        <f t="shared" si="50"/>
        <v/>
      </c>
      <c r="AH140" s="267" t="str">
        <f>IFERROR(RANK(AG140,AG$12:AG$211,1)+COUNTIF(AG$12:AG140,AG140)-1,"")</f>
        <v/>
      </c>
    </row>
    <row r="141" spans="1:34" x14ac:dyDescent="0.25">
      <c r="A141" s="267">
        <v>130</v>
      </c>
      <c r="B141" s="291" t="str">
        <f t="shared" si="62"/>
        <v/>
      </c>
      <c r="C141" s="292" t="str">
        <f t="shared" si="63"/>
        <v/>
      </c>
      <c r="D141" s="293" t="str">
        <f t="shared" ref="D141:D172" si="64">_xlfn.SINGLE(_xlfn.XLOOKUP(A141,AH$12:AH$211,Y$12:Y$211,""))</f>
        <v/>
      </c>
      <c r="E141" s="294" t="str">
        <f t="shared" si="61"/>
        <v/>
      </c>
      <c r="F141" s="295" t="str">
        <f t="shared" ref="F141:F172" si="65">_xlfn.SINGLE(_xlfn.XLOOKUP(A141,AH$12:AH$211,AB$12:AB$211,""))</f>
        <v/>
      </c>
      <c r="G141" s="281" t="str">
        <f t="shared" ref="G141:G172" si="66">_xlfn.SINGLE(_xlfn.XLOOKUP(A141,AH$12:AH$211,AC$12:AC$211,""))</f>
        <v/>
      </c>
      <c r="H141" s="296" t="str">
        <f t="shared" ref="H141:H172" si="67">_xlfn.SINGLE(_xlfn.XLOOKUP(A141,AH$12:AH$211,AD$12:AD$211,""))</f>
        <v/>
      </c>
      <c r="I141" s="297"/>
      <c r="J141" s="298"/>
      <c r="L141" s="267" t="str">
        <f>TB!AG133</f>
        <v>Acorus Calamus</v>
      </c>
      <c r="M141" s="267" t="str">
        <f>TB!AD133</f>
        <v/>
      </c>
      <c r="N141" s="267">
        <f>TB!AT133</f>
        <v>0</v>
      </c>
      <c r="O141" s="267">
        <f>TB!AV133</f>
        <v>38</v>
      </c>
      <c r="P141" s="267">
        <f t="shared" ref="P141:P204" si="68">ROUNDDOWN(N141/10,0)</f>
        <v>0</v>
      </c>
      <c r="Q141" s="267">
        <f t="shared" ref="Q141:Q204" si="69">N141-P141*10</f>
        <v>0</v>
      </c>
      <c r="R141" s="267" t="str">
        <f>TB!AU133</f>
        <v>x6</v>
      </c>
      <c r="S141" s="267">
        <f>COUNTIF(N$12:N141,N141)</f>
        <v>130</v>
      </c>
      <c r="T141" s="267">
        <v>1</v>
      </c>
      <c r="U141" s="267">
        <f t="shared" ref="U141:U204" si="70">SUMIFS(T$12:T$211,L$12:L$211,L141,M$12:M$211,M141,N$12:N$211,N141)</f>
        <v>200</v>
      </c>
      <c r="V141" s="267" t="str">
        <f t="shared" si="52"/>
        <v>Acorus Calamus0</v>
      </c>
      <c r="W141" s="267" t="str">
        <f t="shared" si="51"/>
        <v/>
      </c>
      <c r="X141" s="267" t="str">
        <f>IF(W141&lt;&gt;"",1+COUNT(X$12:X140),"")</f>
        <v/>
      </c>
      <c r="Y141" s="267" t="str">
        <f t="shared" ref="Y141:Y204" si="71">IF(X141&lt;&gt;"",L141,"")</f>
        <v/>
      </c>
      <c r="Z141" s="267" t="str">
        <f t="shared" ref="Z141:Z204" si="72">IF(X141&lt;&gt;"",M141,"")</f>
        <v/>
      </c>
      <c r="AA141" s="267" t="str">
        <f t="shared" ref="AA141:AA204" si="73">IF(X141&lt;&gt;"",U141,"")</f>
        <v/>
      </c>
      <c r="AB141" s="267" t="str">
        <f t="shared" ref="AB141:AB204" si="74">IF(X141&lt;&gt;"",R141,"")</f>
        <v/>
      </c>
      <c r="AC141" s="267" t="str">
        <f t="shared" ref="AC141:AC204" si="75">IF(X141&lt;&gt;"",P141,"")</f>
        <v/>
      </c>
      <c r="AD141" s="267" t="str">
        <f t="shared" ref="AD141:AD204" si="76">IF(X141&lt;&gt;"",Q141,"")</f>
        <v/>
      </c>
      <c r="AE141" s="267" t="str">
        <f t="shared" ref="AE141:AE204" si="77">IF(X141&lt;&gt;"",O141,"")</f>
        <v/>
      </c>
      <c r="AF141" s="267">
        <f t="shared" ref="AF141:AF172" si="78">_xlfn.SINGLE(_xlfn.XLOOKUP(AE141,AM$12:AM$122,AN$12:AN$122,0))</f>
        <v>0</v>
      </c>
      <c r="AG141" s="267" t="str">
        <f t="shared" ref="AG141:AG204" si="79">IFERROR(AC141*1000+AE141+IF(AE141=100,10000,0),"")</f>
        <v/>
      </c>
      <c r="AH141" s="267" t="str">
        <f>IFERROR(RANK(AG141,AG$12:AG$211,1)+COUNTIF(AG$12:AG141,AG141)-1,"")</f>
        <v/>
      </c>
    </row>
    <row r="142" spans="1:34" x14ac:dyDescent="0.25">
      <c r="A142" s="267">
        <v>131</v>
      </c>
      <c r="B142" s="291" t="str">
        <f t="shared" si="62"/>
        <v/>
      </c>
      <c r="C142" s="292" t="str">
        <f t="shared" si="63"/>
        <v/>
      </c>
      <c r="D142" s="293" t="str">
        <f t="shared" si="64"/>
        <v/>
      </c>
      <c r="E142" s="294" t="str">
        <f t="shared" si="61"/>
        <v/>
      </c>
      <c r="F142" s="295" t="str">
        <f t="shared" si="65"/>
        <v/>
      </c>
      <c r="G142" s="281" t="str">
        <f t="shared" si="66"/>
        <v/>
      </c>
      <c r="H142" s="296" t="str">
        <f t="shared" si="67"/>
        <v/>
      </c>
      <c r="I142" s="297"/>
      <c r="J142" s="298"/>
      <c r="L142" s="267" t="str">
        <f>TB!AG134</f>
        <v>Acorus Calamus</v>
      </c>
      <c r="M142" s="267" t="str">
        <f>TB!AD134</f>
        <v/>
      </c>
      <c r="N142" s="267">
        <f>TB!AT134</f>
        <v>0</v>
      </c>
      <c r="O142" s="267">
        <f>TB!AV134</f>
        <v>38</v>
      </c>
      <c r="P142" s="267">
        <f t="shared" si="68"/>
        <v>0</v>
      </c>
      <c r="Q142" s="267">
        <f t="shared" si="69"/>
        <v>0</v>
      </c>
      <c r="R142" s="267" t="str">
        <f>TB!AU134</f>
        <v>x6</v>
      </c>
      <c r="S142" s="267">
        <f>COUNTIF(N$12:N142,N142)</f>
        <v>131</v>
      </c>
      <c r="T142" s="267">
        <v>1</v>
      </c>
      <c r="U142" s="267">
        <f t="shared" si="70"/>
        <v>200</v>
      </c>
      <c r="V142" s="267" t="str">
        <f t="shared" si="52"/>
        <v>Acorus Calamus0</v>
      </c>
      <c r="W142" s="267" t="str">
        <f t="shared" ref="W142:W205" si="80">IF(V142=V141,"",V142)</f>
        <v/>
      </c>
      <c r="X142" s="267" t="str">
        <f>IF(W142&lt;&gt;"",1+COUNT(X$12:X141),"")</f>
        <v/>
      </c>
      <c r="Y142" s="267" t="str">
        <f t="shared" si="71"/>
        <v/>
      </c>
      <c r="Z142" s="267" t="str">
        <f t="shared" si="72"/>
        <v/>
      </c>
      <c r="AA142" s="267" t="str">
        <f t="shared" si="73"/>
        <v/>
      </c>
      <c r="AB142" s="267" t="str">
        <f t="shared" si="74"/>
        <v/>
      </c>
      <c r="AC142" s="267" t="str">
        <f t="shared" si="75"/>
        <v/>
      </c>
      <c r="AD142" s="267" t="str">
        <f t="shared" si="76"/>
        <v/>
      </c>
      <c r="AE142" s="267" t="str">
        <f t="shared" si="77"/>
        <v/>
      </c>
      <c r="AF142" s="267">
        <f t="shared" si="78"/>
        <v>0</v>
      </c>
      <c r="AG142" s="267" t="str">
        <f t="shared" si="79"/>
        <v/>
      </c>
      <c r="AH142" s="267" t="str">
        <f>IFERROR(RANK(AG142,AG$12:AG$211,1)+COUNTIF(AG$12:AG142,AG142)-1,"")</f>
        <v/>
      </c>
    </row>
    <row r="143" spans="1:34" x14ac:dyDescent="0.25">
      <c r="A143" s="267">
        <v>132</v>
      </c>
      <c r="B143" s="291" t="str">
        <f t="shared" si="62"/>
        <v/>
      </c>
      <c r="C143" s="292" t="str">
        <f t="shared" si="63"/>
        <v/>
      </c>
      <c r="D143" s="293" t="str">
        <f t="shared" si="64"/>
        <v/>
      </c>
      <c r="E143" s="294" t="str">
        <f t="shared" si="61"/>
        <v/>
      </c>
      <c r="F143" s="295" t="str">
        <f t="shared" si="65"/>
        <v/>
      </c>
      <c r="G143" s="281" t="str">
        <f t="shared" si="66"/>
        <v/>
      </c>
      <c r="H143" s="296" t="str">
        <f t="shared" si="67"/>
        <v/>
      </c>
      <c r="I143" s="297"/>
      <c r="J143" s="298"/>
      <c r="L143" s="267" t="str">
        <f>TB!AG135</f>
        <v>Acorus Calamus</v>
      </c>
      <c r="M143" s="267" t="str">
        <f>TB!AD135</f>
        <v/>
      </c>
      <c r="N143" s="267">
        <f>TB!AT135</f>
        <v>0</v>
      </c>
      <c r="O143" s="267">
        <f>TB!AV135</f>
        <v>38</v>
      </c>
      <c r="P143" s="267">
        <f t="shared" si="68"/>
        <v>0</v>
      </c>
      <c r="Q143" s="267">
        <f t="shared" si="69"/>
        <v>0</v>
      </c>
      <c r="R143" s="267" t="str">
        <f>TB!AU135</f>
        <v>x6</v>
      </c>
      <c r="S143" s="267">
        <f>COUNTIF(N$12:N143,N143)</f>
        <v>132</v>
      </c>
      <c r="T143" s="267">
        <v>1</v>
      </c>
      <c r="U143" s="267">
        <f t="shared" si="70"/>
        <v>200</v>
      </c>
      <c r="V143" s="267" t="str">
        <f t="shared" si="52"/>
        <v>Acorus Calamus0</v>
      </c>
      <c r="W143" s="267" t="str">
        <f t="shared" si="80"/>
        <v/>
      </c>
      <c r="X143" s="267" t="str">
        <f>IF(W143&lt;&gt;"",1+COUNT(X$12:X142),"")</f>
        <v/>
      </c>
      <c r="Y143" s="267" t="str">
        <f t="shared" si="71"/>
        <v/>
      </c>
      <c r="Z143" s="267" t="str">
        <f t="shared" si="72"/>
        <v/>
      </c>
      <c r="AA143" s="267" t="str">
        <f t="shared" si="73"/>
        <v/>
      </c>
      <c r="AB143" s="267" t="str">
        <f t="shared" si="74"/>
        <v/>
      </c>
      <c r="AC143" s="267" t="str">
        <f t="shared" si="75"/>
        <v/>
      </c>
      <c r="AD143" s="267" t="str">
        <f t="shared" si="76"/>
        <v/>
      </c>
      <c r="AE143" s="267" t="str">
        <f t="shared" si="77"/>
        <v/>
      </c>
      <c r="AF143" s="267">
        <f t="shared" si="78"/>
        <v>0</v>
      </c>
      <c r="AG143" s="267" t="str">
        <f t="shared" si="79"/>
        <v/>
      </c>
      <c r="AH143" s="267" t="str">
        <f>IFERROR(RANK(AG143,AG$12:AG$211,1)+COUNTIF(AG$12:AG143,AG143)-1,"")</f>
        <v/>
      </c>
    </row>
    <row r="144" spans="1:34" x14ac:dyDescent="0.25">
      <c r="A144" s="267">
        <v>133</v>
      </c>
      <c r="B144" s="291" t="str">
        <f t="shared" si="62"/>
        <v/>
      </c>
      <c r="C144" s="292" t="str">
        <f t="shared" si="63"/>
        <v/>
      </c>
      <c r="D144" s="293" t="str">
        <f t="shared" si="64"/>
        <v/>
      </c>
      <c r="E144" s="294" t="str">
        <f t="shared" si="61"/>
        <v/>
      </c>
      <c r="F144" s="295" t="str">
        <f t="shared" si="65"/>
        <v/>
      </c>
      <c r="G144" s="281" t="str">
        <f t="shared" si="66"/>
        <v/>
      </c>
      <c r="H144" s="296" t="str">
        <f t="shared" si="67"/>
        <v/>
      </c>
      <c r="I144" s="297"/>
      <c r="J144" s="298"/>
      <c r="L144" s="267" t="str">
        <f>TB!AG136</f>
        <v>Acorus Calamus</v>
      </c>
      <c r="M144" s="267" t="str">
        <f>TB!AD136</f>
        <v/>
      </c>
      <c r="N144" s="267">
        <f>TB!AT136</f>
        <v>0</v>
      </c>
      <c r="O144" s="267">
        <f>TB!AV136</f>
        <v>38</v>
      </c>
      <c r="P144" s="267">
        <f t="shared" si="68"/>
        <v>0</v>
      </c>
      <c r="Q144" s="267">
        <f t="shared" si="69"/>
        <v>0</v>
      </c>
      <c r="R144" s="267" t="str">
        <f>TB!AU136</f>
        <v>x6</v>
      </c>
      <c r="S144" s="267">
        <f>COUNTIF(N$12:N144,N144)</f>
        <v>133</v>
      </c>
      <c r="T144" s="267">
        <v>1</v>
      </c>
      <c r="U144" s="267">
        <f t="shared" si="70"/>
        <v>200</v>
      </c>
      <c r="V144" s="267" t="str">
        <f t="shared" si="52"/>
        <v>Acorus Calamus0</v>
      </c>
      <c r="W144" s="267" t="str">
        <f t="shared" si="80"/>
        <v/>
      </c>
      <c r="X144" s="267" t="str">
        <f>IF(W144&lt;&gt;"",1+COUNT(X$12:X143),"")</f>
        <v/>
      </c>
      <c r="Y144" s="267" t="str">
        <f t="shared" si="71"/>
        <v/>
      </c>
      <c r="Z144" s="267" t="str">
        <f t="shared" si="72"/>
        <v/>
      </c>
      <c r="AA144" s="267" t="str">
        <f t="shared" si="73"/>
        <v/>
      </c>
      <c r="AB144" s="267" t="str">
        <f t="shared" si="74"/>
        <v/>
      </c>
      <c r="AC144" s="267" t="str">
        <f t="shared" si="75"/>
        <v/>
      </c>
      <c r="AD144" s="267" t="str">
        <f t="shared" si="76"/>
        <v/>
      </c>
      <c r="AE144" s="267" t="str">
        <f t="shared" si="77"/>
        <v/>
      </c>
      <c r="AF144" s="267">
        <f t="shared" si="78"/>
        <v>0</v>
      </c>
      <c r="AG144" s="267" t="str">
        <f t="shared" si="79"/>
        <v/>
      </c>
      <c r="AH144" s="267" t="str">
        <f>IFERROR(RANK(AG144,AG$12:AG$211,1)+COUNTIF(AG$12:AG144,AG144)-1,"")</f>
        <v/>
      </c>
    </row>
    <row r="145" spans="1:34" x14ac:dyDescent="0.25">
      <c r="A145" s="267">
        <v>134</v>
      </c>
      <c r="B145" s="291" t="str">
        <f t="shared" si="62"/>
        <v/>
      </c>
      <c r="C145" s="292" t="str">
        <f t="shared" si="63"/>
        <v/>
      </c>
      <c r="D145" s="293" t="str">
        <f t="shared" si="64"/>
        <v/>
      </c>
      <c r="E145" s="294" t="str">
        <f t="shared" si="61"/>
        <v/>
      </c>
      <c r="F145" s="295" t="str">
        <f t="shared" si="65"/>
        <v/>
      </c>
      <c r="G145" s="281" t="str">
        <f t="shared" si="66"/>
        <v/>
      </c>
      <c r="H145" s="296" t="str">
        <f t="shared" si="67"/>
        <v/>
      </c>
      <c r="I145" s="297"/>
      <c r="J145" s="298"/>
      <c r="L145" s="267" t="str">
        <f>TB!AG137</f>
        <v>Acorus Calamus</v>
      </c>
      <c r="M145" s="267" t="str">
        <f>TB!AD137</f>
        <v/>
      </c>
      <c r="N145" s="267">
        <f>TB!AT137</f>
        <v>0</v>
      </c>
      <c r="O145" s="267">
        <f>TB!AV137</f>
        <v>38</v>
      </c>
      <c r="P145" s="267">
        <f t="shared" si="68"/>
        <v>0</v>
      </c>
      <c r="Q145" s="267">
        <f t="shared" si="69"/>
        <v>0</v>
      </c>
      <c r="R145" s="267" t="str">
        <f>TB!AU137</f>
        <v>x6</v>
      </c>
      <c r="S145" s="267">
        <f>COUNTIF(N$12:N145,N145)</f>
        <v>134</v>
      </c>
      <c r="T145" s="267">
        <v>1</v>
      </c>
      <c r="U145" s="267">
        <f t="shared" si="70"/>
        <v>200</v>
      </c>
      <c r="V145" s="267" t="str">
        <f t="shared" si="52"/>
        <v>Acorus Calamus0</v>
      </c>
      <c r="W145" s="267" t="str">
        <f t="shared" si="80"/>
        <v/>
      </c>
      <c r="X145" s="267" t="str">
        <f>IF(W145&lt;&gt;"",1+COUNT(X$12:X144),"")</f>
        <v/>
      </c>
      <c r="Y145" s="267" t="str">
        <f t="shared" si="71"/>
        <v/>
      </c>
      <c r="Z145" s="267" t="str">
        <f t="shared" si="72"/>
        <v/>
      </c>
      <c r="AA145" s="267" t="str">
        <f t="shared" si="73"/>
        <v/>
      </c>
      <c r="AB145" s="267" t="str">
        <f t="shared" si="74"/>
        <v/>
      </c>
      <c r="AC145" s="267" t="str">
        <f t="shared" si="75"/>
        <v/>
      </c>
      <c r="AD145" s="267" t="str">
        <f t="shared" si="76"/>
        <v/>
      </c>
      <c r="AE145" s="267" t="str">
        <f t="shared" si="77"/>
        <v/>
      </c>
      <c r="AF145" s="267">
        <f t="shared" si="78"/>
        <v>0</v>
      </c>
      <c r="AG145" s="267" t="str">
        <f t="shared" si="79"/>
        <v/>
      </c>
      <c r="AH145" s="267" t="str">
        <f>IFERROR(RANK(AG145,AG$12:AG$211,1)+COUNTIF(AG$12:AG145,AG145)-1,"")</f>
        <v/>
      </c>
    </row>
    <row r="146" spans="1:34" x14ac:dyDescent="0.25">
      <c r="A146" s="267">
        <v>135</v>
      </c>
      <c r="B146" s="291" t="str">
        <f t="shared" si="62"/>
        <v/>
      </c>
      <c r="C146" s="292" t="str">
        <f t="shared" si="63"/>
        <v/>
      </c>
      <c r="D146" s="293" t="str">
        <f t="shared" si="64"/>
        <v/>
      </c>
      <c r="E146" s="294" t="str">
        <f t="shared" si="61"/>
        <v/>
      </c>
      <c r="F146" s="295" t="str">
        <f t="shared" si="65"/>
        <v/>
      </c>
      <c r="G146" s="281" t="str">
        <f t="shared" si="66"/>
        <v/>
      </c>
      <c r="H146" s="296" t="str">
        <f t="shared" si="67"/>
        <v/>
      </c>
      <c r="I146" s="297"/>
      <c r="J146" s="298"/>
      <c r="L146" s="267" t="str">
        <f>TB!AG138</f>
        <v>Acorus Calamus</v>
      </c>
      <c r="M146" s="267" t="str">
        <f>TB!AD138</f>
        <v/>
      </c>
      <c r="N146" s="267">
        <f>TB!AT138</f>
        <v>0</v>
      </c>
      <c r="O146" s="267">
        <f>TB!AV138</f>
        <v>38</v>
      </c>
      <c r="P146" s="267">
        <f t="shared" si="68"/>
        <v>0</v>
      </c>
      <c r="Q146" s="267">
        <f t="shared" si="69"/>
        <v>0</v>
      </c>
      <c r="R146" s="267" t="str">
        <f>TB!AU138</f>
        <v>x6</v>
      </c>
      <c r="S146" s="267">
        <f>COUNTIF(N$12:N146,N146)</f>
        <v>135</v>
      </c>
      <c r="T146" s="267">
        <v>1</v>
      </c>
      <c r="U146" s="267">
        <f t="shared" si="70"/>
        <v>200</v>
      </c>
      <c r="V146" s="267" t="str">
        <f t="shared" si="52"/>
        <v>Acorus Calamus0</v>
      </c>
      <c r="W146" s="267" t="str">
        <f t="shared" si="80"/>
        <v/>
      </c>
      <c r="X146" s="267" t="str">
        <f>IF(W146&lt;&gt;"",1+COUNT(X$12:X145),"")</f>
        <v/>
      </c>
      <c r="Y146" s="267" t="str">
        <f t="shared" si="71"/>
        <v/>
      </c>
      <c r="Z146" s="267" t="str">
        <f t="shared" si="72"/>
        <v/>
      </c>
      <c r="AA146" s="267" t="str">
        <f t="shared" si="73"/>
        <v/>
      </c>
      <c r="AB146" s="267" t="str">
        <f t="shared" si="74"/>
        <v/>
      </c>
      <c r="AC146" s="267" t="str">
        <f t="shared" si="75"/>
        <v/>
      </c>
      <c r="AD146" s="267" t="str">
        <f t="shared" si="76"/>
        <v/>
      </c>
      <c r="AE146" s="267" t="str">
        <f t="shared" si="77"/>
        <v/>
      </c>
      <c r="AF146" s="267">
        <f t="shared" si="78"/>
        <v>0</v>
      </c>
      <c r="AG146" s="267" t="str">
        <f t="shared" si="79"/>
        <v/>
      </c>
      <c r="AH146" s="267" t="str">
        <f>IFERROR(RANK(AG146,AG$12:AG$211,1)+COUNTIF(AG$12:AG146,AG146)-1,"")</f>
        <v/>
      </c>
    </row>
    <row r="147" spans="1:34" x14ac:dyDescent="0.25">
      <c r="A147" s="267">
        <v>136</v>
      </c>
      <c r="B147" s="291" t="str">
        <f t="shared" si="62"/>
        <v/>
      </c>
      <c r="C147" s="292" t="str">
        <f t="shared" si="63"/>
        <v/>
      </c>
      <c r="D147" s="293" t="str">
        <f t="shared" si="64"/>
        <v/>
      </c>
      <c r="E147" s="294" t="str">
        <f t="shared" si="61"/>
        <v/>
      </c>
      <c r="F147" s="295" t="str">
        <f t="shared" si="65"/>
        <v/>
      </c>
      <c r="G147" s="281" t="str">
        <f t="shared" si="66"/>
        <v/>
      </c>
      <c r="H147" s="296" t="str">
        <f t="shared" si="67"/>
        <v/>
      </c>
      <c r="I147" s="297"/>
      <c r="J147" s="298"/>
      <c r="L147" s="267" t="str">
        <f>TB!AG139</f>
        <v>Acorus Calamus</v>
      </c>
      <c r="M147" s="267" t="str">
        <f>TB!AD139</f>
        <v/>
      </c>
      <c r="N147" s="267">
        <f>TB!AT139</f>
        <v>0</v>
      </c>
      <c r="O147" s="267">
        <f>TB!AV139</f>
        <v>38</v>
      </c>
      <c r="P147" s="267">
        <f t="shared" si="68"/>
        <v>0</v>
      </c>
      <c r="Q147" s="267">
        <f t="shared" si="69"/>
        <v>0</v>
      </c>
      <c r="R147" s="267" t="str">
        <f>TB!AU139</f>
        <v>x6</v>
      </c>
      <c r="S147" s="267">
        <f>COUNTIF(N$12:N147,N147)</f>
        <v>136</v>
      </c>
      <c r="T147" s="267">
        <v>1</v>
      </c>
      <c r="U147" s="267">
        <f t="shared" si="70"/>
        <v>200</v>
      </c>
      <c r="V147" s="267" t="str">
        <f t="shared" si="52"/>
        <v>Acorus Calamus0</v>
      </c>
      <c r="W147" s="267" t="str">
        <f t="shared" si="80"/>
        <v/>
      </c>
      <c r="X147" s="267" t="str">
        <f>IF(W147&lt;&gt;"",1+COUNT(X$12:X146),"")</f>
        <v/>
      </c>
      <c r="Y147" s="267" t="str">
        <f t="shared" si="71"/>
        <v/>
      </c>
      <c r="Z147" s="267" t="str">
        <f t="shared" si="72"/>
        <v/>
      </c>
      <c r="AA147" s="267" t="str">
        <f t="shared" si="73"/>
        <v/>
      </c>
      <c r="AB147" s="267" t="str">
        <f t="shared" si="74"/>
        <v/>
      </c>
      <c r="AC147" s="267" t="str">
        <f t="shared" si="75"/>
        <v/>
      </c>
      <c r="AD147" s="267" t="str">
        <f t="shared" si="76"/>
        <v/>
      </c>
      <c r="AE147" s="267" t="str">
        <f t="shared" si="77"/>
        <v/>
      </c>
      <c r="AF147" s="267">
        <f t="shared" si="78"/>
        <v>0</v>
      </c>
      <c r="AG147" s="267" t="str">
        <f t="shared" si="79"/>
        <v/>
      </c>
      <c r="AH147" s="267" t="str">
        <f>IFERROR(RANK(AG147,AG$12:AG$211,1)+COUNTIF(AG$12:AG147,AG147)-1,"")</f>
        <v/>
      </c>
    </row>
    <row r="148" spans="1:34" x14ac:dyDescent="0.25">
      <c r="A148" s="267">
        <v>137</v>
      </c>
      <c r="B148" s="291" t="str">
        <f t="shared" si="62"/>
        <v/>
      </c>
      <c r="C148" s="292" t="str">
        <f t="shared" si="63"/>
        <v/>
      </c>
      <c r="D148" s="293" t="str">
        <f t="shared" si="64"/>
        <v/>
      </c>
      <c r="E148" s="294" t="str">
        <f t="shared" si="61"/>
        <v/>
      </c>
      <c r="F148" s="295" t="str">
        <f t="shared" si="65"/>
        <v/>
      </c>
      <c r="G148" s="281" t="str">
        <f t="shared" si="66"/>
        <v/>
      </c>
      <c r="H148" s="296" t="str">
        <f t="shared" si="67"/>
        <v/>
      </c>
      <c r="I148" s="297"/>
      <c r="J148" s="298"/>
      <c r="L148" s="267" t="str">
        <f>TB!AG140</f>
        <v>Acorus Calamus</v>
      </c>
      <c r="M148" s="267" t="str">
        <f>TB!AD140</f>
        <v/>
      </c>
      <c r="N148" s="267">
        <f>TB!AT140</f>
        <v>0</v>
      </c>
      <c r="O148" s="267">
        <f>TB!AV140</f>
        <v>38</v>
      </c>
      <c r="P148" s="267">
        <f t="shared" si="68"/>
        <v>0</v>
      </c>
      <c r="Q148" s="267">
        <f t="shared" si="69"/>
        <v>0</v>
      </c>
      <c r="R148" s="267" t="str">
        <f>TB!AU140</f>
        <v>x6</v>
      </c>
      <c r="S148" s="267">
        <f>COUNTIF(N$12:N148,N148)</f>
        <v>137</v>
      </c>
      <c r="T148" s="267">
        <v>1</v>
      </c>
      <c r="U148" s="267">
        <f t="shared" si="70"/>
        <v>200</v>
      </c>
      <c r="V148" s="267" t="str">
        <f t="shared" si="52"/>
        <v>Acorus Calamus0</v>
      </c>
      <c r="W148" s="267" t="str">
        <f t="shared" si="80"/>
        <v/>
      </c>
      <c r="X148" s="267" t="str">
        <f>IF(W148&lt;&gt;"",1+COUNT(X$12:X147),"")</f>
        <v/>
      </c>
      <c r="Y148" s="267" t="str">
        <f t="shared" si="71"/>
        <v/>
      </c>
      <c r="Z148" s="267" t="str">
        <f t="shared" si="72"/>
        <v/>
      </c>
      <c r="AA148" s="267" t="str">
        <f t="shared" si="73"/>
        <v/>
      </c>
      <c r="AB148" s="267" t="str">
        <f t="shared" si="74"/>
        <v/>
      </c>
      <c r="AC148" s="267" t="str">
        <f t="shared" si="75"/>
        <v/>
      </c>
      <c r="AD148" s="267" t="str">
        <f t="shared" si="76"/>
        <v/>
      </c>
      <c r="AE148" s="267" t="str">
        <f t="shared" si="77"/>
        <v/>
      </c>
      <c r="AF148" s="267">
        <f t="shared" si="78"/>
        <v>0</v>
      </c>
      <c r="AG148" s="267" t="str">
        <f t="shared" si="79"/>
        <v/>
      </c>
      <c r="AH148" s="267" t="str">
        <f>IFERROR(RANK(AG148,AG$12:AG$211,1)+COUNTIF(AG$12:AG148,AG148)-1,"")</f>
        <v/>
      </c>
    </row>
    <row r="149" spans="1:34" x14ac:dyDescent="0.25">
      <c r="A149" s="267">
        <v>138</v>
      </c>
      <c r="B149" s="291" t="str">
        <f t="shared" si="62"/>
        <v/>
      </c>
      <c r="C149" s="292" t="str">
        <f t="shared" si="63"/>
        <v/>
      </c>
      <c r="D149" s="293" t="str">
        <f t="shared" si="64"/>
        <v/>
      </c>
      <c r="E149" s="294" t="str">
        <f t="shared" si="61"/>
        <v/>
      </c>
      <c r="F149" s="295" t="str">
        <f t="shared" si="65"/>
        <v/>
      </c>
      <c r="G149" s="281" t="str">
        <f t="shared" si="66"/>
        <v/>
      </c>
      <c r="H149" s="296" t="str">
        <f t="shared" si="67"/>
        <v/>
      </c>
      <c r="I149" s="297"/>
      <c r="J149" s="298"/>
      <c r="L149" s="267" t="str">
        <f>TB!AG141</f>
        <v>Acorus Calamus</v>
      </c>
      <c r="M149" s="267" t="str">
        <f>TB!AD141</f>
        <v/>
      </c>
      <c r="N149" s="267">
        <f>TB!AT141</f>
        <v>0</v>
      </c>
      <c r="O149" s="267">
        <f>TB!AV141</f>
        <v>38</v>
      </c>
      <c r="P149" s="267">
        <f t="shared" si="68"/>
        <v>0</v>
      </c>
      <c r="Q149" s="267">
        <f t="shared" si="69"/>
        <v>0</v>
      </c>
      <c r="R149" s="267" t="str">
        <f>TB!AU141</f>
        <v>x6</v>
      </c>
      <c r="S149" s="267">
        <f>COUNTIF(N$12:N149,N149)</f>
        <v>138</v>
      </c>
      <c r="T149" s="267">
        <v>1</v>
      </c>
      <c r="U149" s="267">
        <f t="shared" si="70"/>
        <v>200</v>
      </c>
      <c r="V149" s="267" t="str">
        <f t="shared" si="52"/>
        <v>Acorus Calamus0</v>
      </c>
      <c r="W149" s="267" t="str">
        <f t="shared" si="80"/>
        <v/>
      </c>
      <c r="X149" s="267" t="str">
        <f>IF(W149&lt;&gt;"",1+COUNT(X$12:X148),"")</f>
        <v/>
      </c>
      <c r="Y149" s="267" t="str">
        <f t="shared" si="71"/>
        <v/>
      </c>
      <c r="Z149" s="267" t="str">
        <f t="shared" si="72"/>
        <v/>
      </c>
      <c r="AA149" s="267" t="str">
        <f t="shared" si="73"/>
        <v/>
      </c>
      <c r="AB149" s="267" t="str">
        <f t="shared" si="74"/>
        <v/>
      </c>
      <c r="AC149" s="267" t="str">
        <f t="shared" si="75"/>
        <v/>
      </c>
      <c r="AD149" s="267" t="str">
        <f t="shared" si="76"/>
        <v/>
      </c>
      <c r="AE149" s="267" t="str">
        <f t="shared" si="77"/>
        <v/>
      </c>
      <c r="AF149" s="267">
        <f t="shared" si="78"/>
        <v>0</v>
      </c>
      <c r="AG149" s="267" t="str">
        <f t="shared" si="79"/>
        <v/>
      </c>
      <c r="AH149" s="267" t="str">
        <f>IFERROR(RANK(AG149,AG$12:AG$211,1)+COUNTIF(AG$12:AG149,AG149)-1,"")</f>
        <v/>
      </c>
    </row>
    <row r="150" spans="1:34" x14ac:dyDescent="0.25">
      <c r="A150" s="267">
        <v>139</v>
      </c>
      <c r="B150" s="291" t="str">
        <f t="shared" si="62"/>
        <v/>
      </c>
      <c r="C150" s="292" t="str">
        <f t="shared" si="63"/>
        <v/>
      </c>
      <c r="D150" s="293" t="str">
        <f t="shared" si="64"/>
        <v/>
      </c>
      <c r="E150" s="294" t="str">
        <f t="shared" si="61"/>
        <v/>
      </c>
      <c r="F150" s="295" t="str">
        <f t="shared" si="65"/>
        <v/>
      </c>
      <c r="G150" s="281" t="str">
        <f t="shared" si="66"/>
        <v/>
      </c>
      <c r="H150" s="296" t="str">
        <f t="shared" si="67"/>
        <v/>
      </c>
      <c r="I150" s="297"/>
      <c r="J150" s="298"/>
      <c r="L150" s="267" t="str">
        <f>TB!AG142</f>
        <v>Acorus Calamus</v>
      </c>
      <c r="M150" s="267" t="str">
        <f>TB!AD142</f>
        <v/>
      </c>
      <c r="N150" s="267">
        <f>TB!AT142</f>
        <v>0</v>
      </c>
      <c r="O150" s="267">
        <f>TB!AV142</f>
        <v>38</v>
      </c>
      <c r="P150" s="267">
        <f t="shared" si="68"/>
        <v>0</v>
      </c>
      <c r="Q150" s="267">
        <f t="shared" si="69"/>
        <v>0</v>
      </c>
      <c r="R150" s="267" t="str">
        <f>TB!AU142</f>
        <v>x6</v>
      </c>
      <c r="S150" s="267">
        <f>COUNTIF(N$12:N150,N150)</f>
        <v>139</v>
      </c>
      <c r="T150" s="267">
        <v>1</v>
      </c>
      <c r="U150" s="267">
        <f t="shared" si="70"/>
        <v>200</v>
      </c>
      <c r="V150" s="267" t="str">
        <f t="shared" si="52"/>
        <v>Acorus Calamus0</v>
      </c>
      <c r="W150" s="267" t="str">
        <f t="shared" si="80"/>
        <v/>
      </c>
      <c r="X150" s="267" t="str">
        <f>IF(W150&lt;&gt;"",1+COUNT(X$12:X149),"")</f>
        <v/>
      </c>
      <c r="Y150" s="267" t="str">
        <f t="shared" si="71"/>
        <v/>
      </c>
      <c r="Z150" s="267" t="str">
        <f t="shared" si="72"/>
        <v/>
      </c>
      <c r="AA150" s="267" t="str">
        <f t="shared" si="73"/>
        <v/>
      </c>
      <c r="AB150" s="267" t="str">
        <f t="shared" si="74"/>
        <v/>
      </c>
      <c r="AC150" s="267" t="str">
        <f t="shared" si="75"/>
        <v/>
      </c>
      <c r="AD150" s="267" t="str">
        <f t="shared" si="76"/>
        <v/>
      </c>
      <c r="AE150" s="267" t="str">
        <f t="shared" si="77"/>
        <v/>
      </c>
      <c r="AF150" s="267">
        <f t="shared" si="78"/>
        <v>0</v>
      </c>
      <c r="AG150" s="267" t="str">
        <f t="shared" si="79"/>
        <v/>
      </c>
      <c r="AH150" s="267" t="str">
        <f>IFERROR(RANK(AG150,AG$12:AG$211,1)+COUNTIF(AG$12:AG150,AG150)-1,"")</f>
        <v/>
      </c>
    </row>
    <row r="151" spans="1:34" x14ac:dyDescent="0.25">
      <c r="A151" s="267">
        <v>140</v>
      </c>
      <c r="B151" s="291" t="str">
        <f t="shared" si="62"/>
        <v/>
      </c>
      <c r="C151" s="292" t="str">
        <f t="shared" si="63"/>
        <v/>
      </c>
      <c r="D151" s="293" t="str">
        <f t="shared" si="64"/>
        <v/>
      </c>
      <c r="E151" s="294" t="str">
        <f t="shared" si="61"/>
        <v/>
      </c>
      <c r="F151" s="295" t="str">
        <f t="shared" si="65"/>
        <v/>
      </c>
      <c r="G151" s="281" t="str">
        <f t="shared" si="66"/>
        <v/>
      </c>
      <c r="H151" s="296" t="str">
        <f t="shared" si="67"/>
        <v/>
      </c>
      <c r="I151" s="297"/>
      <c r="J151" s="298"/>
      <c r="L151" s="267" t="str">
        <f>TB!AG143</f>
        <v>Acorus Calamus</v>
      </c>
      <c r="M151" s="267" t="str">
        <f>TB!AD143</f>
        <v/>
      </c>
      <c r="N151" s="267">
        <f>TB!AT143</f>
        <v>0</v>
      </c>
      <c r="O151" s="267">
        <f>TB!AV143</f>
        <v>38</v>
      </c>
      <c r="P151" s="267">
        <f t="shared" si="68"/>
        <v>0</v>
      </c>
      <c r="Q151" s="267">
        <f t="shared" si="69"/>
        <v>0</v>
      </c>
      <c r="R151" s="267" t="str">
        <f>TB!AU143</f>
        <v>x6</v>
      </c>
      <c r="S151" s="267">
        <f>COUNTIF(N$12:N151,N151)</f>
        <v>140</v>
      </c>
      <c r="T151" s="267">
        <v>1</v>
      </c>
      <c r="U151" s="267">
        <f t="shared" si="70"/>
        <v>200</v>
      </c>
      <c r="V151" s="267" t="str">
        <f t="shared" si="52"/>
        <v>Acorus Calamus0</v>
      </c>
      <c r="W151" s="267" t="str">
        <f t="shared" si="80"/>
        <v/>
      </c>
      <c r="X151" s="267" t="str">
        <f>IF(W151&lt;&gt;"",1+COUNT(X$12:X150),"")</f>
        <v/>
      </c>
      <c r="Y151" s="267" t="str">
        <f t="shared" si="71"/>
        <v/>
      </c>
      <c r="Z151" s="267" t="str">
        <f t="shared" si="72"/>
        <v/>
      </c>
      <c r="AA151" s="267" t="str">
        <f t="shared" si="73"/>
        <v/>
      </c>
      <c r="AB151" s="267" t="str">
        <f t="shared" si="74"/>
        <v/>
      </c>
      <c r="AC151" s="267" t="str">
        <f t="shared" si="75"/>
        <v/>
      </c>
      <c r="AD151" s="267" t="str">
        <f t="shared" si="76"/>
        <v/>
      </c>
      <c r="AE151" s="267" t="str">
        <f t="shared" si="77"/>
        <v/>
      </c>
      <c r="AF151" s="267">
        <f t="shared" si="78"/>
        <v>0</v>
      </c>
      <c r="AG151" s="267" t="str">
        <f t="shared" si="79"/>
        <v/>
      </c>
      <c r="AH151" s="267" t="str">
        <f>IFERROR(RANK(AG151,AG$12:AG$211,1)+COUNTIF(AG$12:AG151,AG151)-1,"")</f>
        <v/>
      </c>
    </row>
    <row r="152" spans="1:34" x14ac:dyDescent="0.25">
      <c r="A152" s="267">
        <v>141</v>
      </c>
      <c r="B152" s="291" t="str">
        <f t="shared" si="62"/>
        <v/>
      </c>
      <c r="C152" s="292" t="str">
        <f t="shared" si="63"/>
        <v/>
      </c>
      <c r="D152" s="293" t="str">
        <f t="shared" si="64"/>
        <v/>
      </c>
      <c r="E152" s="294" t="str">
        <f t="shared" si="61"/>
        <v/>
      </c>
      <c r="F152" s="295" t="str">
        <f t="shared" si="65"/>
        <v/>
      </c>
      <c r="G152" s="281" t="str">
        <f t="shared" si="66"/>
        <v/>
      </c>
      <c r="H152" s="296" t="str">
        <f t="shared" si="67"/>
        <v/>
      </c>
      <c r="I152" s="297"/>
      <c r="J152" s="298"/>
      <c r="L152" s="267" t="str">
        <f>TB!AG144</f>
        <v>Acorus Calamus</v>
      </c>
      <c r="M152" s="267" t="str">
        <f>TB!AD144</f>
        <v/>
      </c>
      <c r="N152" s="267">
        <f>TB!AT144</f>
        <v>0</v>
      </c>
      <c r="O152" s="267">
        <f>TB!AV144</f>
        <v>38</v>
      </c>
      <c r="P152" s="267">
        <f t="shared" si="68"/>
        <v>0</v>
      </c>
      <c r="Q152" s="267">
        <f t="shared" si="69"/>
        <v>0</v>
      </c>
      <c r="R152" s="267" t="str">
        <f>TB!AU144</f>
        <v>x6</v>
      </c>
      <c r="S152" s="267">
        <f>COUNTIF(N$12:N152,N152)</f>
        <v>141</v>
      </c>
      <c r="T152" s="267">
        <v>1</v>
      </c>
      <c r="U152" s="267">
        <f t="shared" si="70"/>
        <v>200</v>
      </c>
      <c r="V152" s="267" t="str">
        <f t="shared" si="52"/>
        <v>Acorus Calamus0</v>
      </c>
      <c r="W152" s="267" t="str">
        <f t="shared" si="80"/>
        <v/>
      </c>
      <c r="X152" s="267" t="str">
        <f>IF(W152&lt;&gt;"",1+COUNT(X$12:X151),"")</f>
        <v/>
      </c>
      <c r="Y152" s="267" t="str">
        <f t="shared" si="71"/>
        <v/>
      </c>
      <c r="Z152" s="267" t="str">
        <f t="shared" si="72"/>
        <v/>
      </c>
      <c r="AA152" s="267" t="str">
        <f t="shared" si="73"/>
        <v/>
      </c>
      <c r="AB152" s="267" t="str">
        <f t="shared" si="74"/>
        <v/>
      </c>
      <c r="AC152" s="267" t="str">
        <f t="shared" si="75"/>
        <v/>
      </c>
      <c r="AD152" s="267" t="str">
        <f t="shared" si="76"/>
        <v/>
      </c>
      <c r="AE152" s="267" t="str">
        <f t="shared" si="77"/>
        <v/>
      </c>
      <c r="AF152" s="267">
        <f t="shared" si="78"/>
        <v>0</v>
      </c>
      <c r="AG152" s="267" t="str">
        <f t="shared" si="79"/>
        <v/>
      </c>
      <c r="AH152" s="267" t="str">
        <f>IFERROR(RANK(AG152,AG$12:AG$211,1)+COUNTIF(AG$12:AG152,AG152)-1,"")</f>
        <v/>
      </c>
    </row>
    <row r="153" spans="1:34" x14ac:dyDescent="0.25">
      <c r="A153" s="267">
        <v>142</v>
      </c>
      <c r="B153" s="291" t="str">
        <f t="shared" si="62"/>
        <v/>
      </c>
      <c r="C153" s="292" t="str">
        <f t="shared" si="63"/>
        <v/>
      </c>
      <c r="D153" s="293" t="str">
        <f t="shared" si="64"/>
        <v/>
      </c>
      <c r="E153" s="294" t="str">
        <f t="shared" si="61"/>
        <v/>
      </c>
      <c r="F153" s="295" t="str">
        <f t="shared" si="65"/>
        <v/>
      </c>
      <c r="G153" s="281" t="str">
        <f t="shared" si="66"/>
        <v/>
      </c>
      <c r="H153" s="296" t="str">
        <f t="shared" si="67"/>
        <v/>
      </c>
      <c r="I153" s="297"/>
      <c r="J153" s="298"/>
      <c r="L153" s="267" t="str">
        <f>TB!AG145</f>
        <v>Acorus Calamus</v>
      </c>
      <c r="M153" s="267" t="str">
        <f>TB!AD145</f>
        <v/>
      </c>
      <c r="N153" s="267">
        <f>TB!AT145</f>
        <v>0</v>
      </c>
      <c r="O153" s="267">
        <f>TB!AV145</f>
        <v>38</v>
      </c>
      <c r="P153" s="267">
        <f t="shared" si="68"/>
        <v>0</v>
      </c>
      <c r="Q153" s="267">
        <f t="shared" si="69"/>
        <v>0</v>
      </c>
      <c r="R153" s="267" t="str">
        <f>TB!AU145</f>
        <v>x6</v>
      </c>
      <c r="S153" s="267">
        <f>COUNTIF(N$12:N153,N153)</f>
        <v>142</v>
      </c>
      <c r="T153" s="267">
        <v>1</v>
      </c>
      <c r="U153" s="267">
        <f t="shared" si="70"/>
        <v>200</v>
      </c>
      <c r="V153" s="267" t="str">
        <f t="shared" si="52"/>
        <v>Acorus Calamus0</v>
      </c>
      <c r="W153" s="267" t="str">
        <f t="shared" si="80"/>
        <v/>
      </c>
      <c r="X153" s="267" t="str">
        <f>IF(W153&lt;&gt;"",1+COUNT(X$12:X152),"")</f>
        <v/>
      </c>
      <c r="Y153" s="267" t="str">
        <f t="shared" si="71"/>
        <v/>
      </c>
      <c r="Z153" s="267" t="str">
        <f t="shared" si="72"/>
        <v/>
      </c>
      <c r="AA153" s="267" t="str">
        <f t="shared" si="73"/>
        <v/>
      </c>
      <c r="AB153" s="267" t="str">
        <f t="shared" si="74"/>
        <v/>
      </c>
      <c r="AC153" s="267" t="str">
        <f t="shared" si="75"/>
        <v/>
      </c>
      <c r="AD153" s="267" t="str">
        <f t="shared" si="76"/>
        <v/>
      </c>
      <c r="AE153" s="267" t="str">
        <f t="shared" si="77"/>
        <v/>
      </c>
      <c r="AF153" s="267">
        <f t="shared" si="78"/>
        <v>0</v>
      </c>
      <c r="AG153" s="267" t="str">
        <f t="shared" si="79"/>
        <v/>
      </c>
      <c r="AH153" s="267" t="str">
        <f>IFERROR(RANK(AG153,AG$12:AG$211,1)+COUNTIF(AG$12:AG153,AG153)-1,"")</f>
        <v/>
      </c>
    </row>
    <row r="154" spans="1:34" x14ac:dyDescent="0.25">
      <c r="A154" s="267">
        <v>143</v>
      </c>
      <c r="B154" s="291" t="str">
        <f t="shared" si="62"/>
        <v/>
      </c>
      <c r="C154" s="292" t="str">
        <f t="shared" si="63"/>
        <v/>
      </c>
      <c r="D154" s="293" t="str">
        <f t="shared" si="64"/>
        <v/>
      </c>
      <c r="E154" s="294" t="str">
        <f t="shared" si="61"/>
        <v/>
      </c>
      <c r="F154" s="295" t="str">
        <f t="shared" si="65"/>
        <v/>
      </c>
      <c r="G154" s="281" t="str">
        <f t="shared" si="66"/>
        <v/>
      </c>
      <c r="H154" s="296" t="str">
        <f t="shared" si="67"/>
        <v/>
      </c>
      <c r="I154" s="297"/>
      <c r="J154" s="298"/>
      <c r="L154" s="267" t="str">
        <f>TB!AG146</f>
        <v>Acorus Calamus</v>
      </c>
      <c r="M154" s="267" t="str">
        <f>TB!AD146</f>
        <v/>
      </c>
      <c r="N154" s="267">
        <f>TB!AT146</f>
        <v>0</v>
      </c>
      <c r="O154" s="267">
        <f>TB!AV146</f>
        <v>38</v>
      </c>
      <c r="P154" s="267">
        <f t="shared" si="68"/>
        <v>0</v>
      </c>
      <c r="Q154" s="267">
        <f t="shared" si="69"/>
        <v>0</v>
      </c>
      <c r="R154" s="267" t="str">
        <f>TB!AU146</f>
        <v>x6</v>
      </c>
      <c r="S154" s="267">
        <f>COUNTIF(N$12:N154,N154)</f>
        <v>143</v>
      </c>
      <c r="T154" s="267">
        <v>1</v>
      </c>
      <c r="U154" s="267">
        <f t="shared" si="70"/>
        <v>200</v>
      </c>
      <c r="V154" s="267" t="str">
        <f t="shared" si="52"/>
        <v>Acorus Calamus0</v>
      </c>
      <c r="W154" s="267" t="str">
        <f t="shared" si="80"/>
        <v/>
      </c>
      <c r="X154" s="267" t="str">
        <f>IF(W154&lt;&gt;"",1+COUNT(X$12:X153),"")</f>
        <v/>
      </c>
      <c r="Y154" s="267" t="str">
        <f t="shared" si="71"/>
        <v/>
      </c>
      <c r="Z154" s="267" t="str">
        <f t="shared" si="72"/>
        <v/>
      </c>
      <c r="AA154" s="267" t="str">
        <f t="shared" si="73"/>
        <v/>
      </c>
      <c r="AB154" s="267" t="str">
        <f t="shared" si="74"/>
        <v/>
      </c>
      <c r="AC154" s="267" t="str">
        <f t="shared" si="75"/>
        <v/>
      </c>
      <c r="AD154" s="267" t="str">
        <f t="shared" si="76"/>
        <v/>
      </c>
      <c r="AE154" s="267" t="str">
        <f t="shared" si="77"/>
        <v/>
      </c>
      <c r="AF154" s="267">
        <f t="shared" si="78"/>
        <v>0</v>
      </c>
      <c r="AG154" s="267" t="str">
        <f t="shared" si="79"/>
        <v/>
      </c>
      <c r="AH154" s="267" t="str">
        <f>IFERROR(RANK(AG154,AG$12:AG$211,1)+COUNTIF(AG$12:AG154,AG154)-1,"")</f>
        <v/>
      </c>
    </row>
    <row r="155" spans="1:34" x14ac:dyDescent="0.25">
      <c r="A155" s="267">
        <v>144</v>
      </c>
      <c r="B155" s="291" t="str">
        <f t="shared" si="62"/>
        <v/>
      </c>
      <c r="C155" s="292" t="str">
        <f t="shared" si="63"/>
        <v/>
      </c>
      <c r="D155" s="293" t="str">
        <f t="shared" si="64"/>
        <v/>
      </c>
      <c r="E155" s="294" t="str">
        <f t="shared" si="61"/>
        <v/>
      </c>
      <c r="F155" s="295" t="str">
        <f t="shared" si="65"/>
        <v/>
      </c>
      <c r="G155" s="281" t="str">
        <f t="shared" si="66"/>
        <v/>
      </c>
      <c r="H155" s="296" t="str">
        <f t="shared" si="67"/>
        <v/>
      </c>
      <c r="I155" s="297"/>
      <c r="J155" s="298"/>
      <c r="L155" s="267" t="str">
        <f>TB!AG147</f>
        <v>Acorus Calamus</v>
      </c>
      <c r="M155" s="267" t="str">
        <f>TB!AD147</f>
        <v/>
      </c>
      <c r="N155" s="267">
        <f>TB!AT147</f>
        <v>0</v>
      </c>
      <c r="O155" s="267">
        <f>TB!AV147</f>
        <v>38</v>
      </c>
      <c r="P155" s="267">
        <f t="shared" si="68"/>
        <v>0</v>
      </c>
      <c r="Q155" s="267">
        <f t="shared" si="69"/>
        <v>0</v>
      </c>
      <c r="R155" s="267" t="str">
        <f>TB!AU147</f>
        <v>x6</v>
      </c>
      <c r="S155" s="267">
        <f>COUNTIF(N$12:N155,N155)</f>
        <v>144</v>
      </c>
      <c r="T155" s="267">
        <v>1</v>
      </c>
      <c r="U155" s="267">
        <f t="shared" si="70"/>
        <v>200</v>
      </c>
      <c r="V155" s="267" t="str">
        <f t="shared" si="52"/>
        <v>Acorus Calamus0</v>
      </c>
      <c r="W155" s="267" t="str">
        <f t="shared" si="80"/>
        <v/>
      </c>
      <c r="X155" s="267" t="str">
        <f>IF(W155&lt;&gt;"",1+COUNT(X$12:X154),"")</f>
        <v/>
      </c>
      <c r="Y155" s="267" t="str">
        <f t="shared" si="71"/>
        <v/>
      </c>
      <c r="Z155" s="267" t="str">
        <f t="shared" si="72"/>
        <v/>
      </c>
      <c r="AA155" s="267" t="str">
        <f t="shared" si="73"/>
        <v/>
      </c>
      <c r="AB155" s="267" t="str">
        <f t="shared" si="74"/>
        <v/>
      </c>
      <c r="AC155" s="267" t="str">
        <f t="shared" si="75"/>
        <v/>
      </c>
      <c r="AD155" s="267" t="str">
        <f t="shared" si="76"/>
        <v/>
      </c>
      <c r="AE155" s="267" t="str">
        <f t="shared" si="77"/>
        <v/>
      </c>
      <c r="AF155" s="267">
        <f t="shared" si="78"/>
        <v>0</v>
      </c>
      <c r="AG155" s="267" t="str">
        <f t="shared" si="79"/>
        <v/>
      </c>
      <c r="AH155" s="267" t="str">
        <f>IFERROR(RANK(AG155,AG$12:AG$211,1)+COUNTIF(AG$12:AG155,AG155)-1,"")</f>
        <v/>
      </c>
    </row>
    <row r="156" spans="1:34" x14ac:dyDescent="0.25">
      <c r="A156" s="267">
        <v>145</v>
      </c>
      <c r="B156" s="291" t="str">
        <f t="shared" si="62"/>
        <v/>
      </c>
      <c r="C156" s="292" t="str">
        <f t="shared" si="63"/>
        <v/>
      </c>
      <c r="D156" s="293" t="str">
        <f t="shared" si="64"/>
        <v/>
      </c>
      <c r="E156" s="294" t="str">
        <f t="shared" si="61"/>
        <v/>
      </c>
      <c r="F156" s="295" t="str">
        <f t="shared" si="65"/>
        <v/>
      </c>
      <c r="G156" s="281" t="str">
        <f t="shared" si="66"/>
        <v/>
      </c>
      <c r="H156" s="296" t="str">
        <f t="shared" si="67"/>
        <v/>
      </c>
      <c r="I156" s="297"/>
      <c r="J156" s="298"/>
      <c r="L156" s="267" t="str">
        <f>TB!AG148</f>
        <v>Acorus Calamus</v>
      </c>
      <c r="M156" s="267" t="str">
        <f>TB!AD148</f>
        <v/>
      </c>
      <c r="N156" s="267">
        <f>TB!AT148</f>
        <v>0</v>
      </c>
      <c r="O156" s="267">
        <f>TB!AV148</f>
        <v>38</v>
      </c>
      <c r="P156" s="267">
        <f t="shared" si="68"/>
        <v>0</v>
      </c>
      <c r="Q156" s="267">
        <f t="shared" si="69"/>
        <v>0</v>
      </c>
      <c r="R156" s="267" t="str">
        <f>TB!AU148</f>
        <v>x6</v>
      </c>
      <c r="S156" s="267">
        <f>COUNTIF(N$12:N156,N156)</f>
        <v>145</v>
      </c>
      <c r="T156" s="267">
        <v>1</v>
      </c>
      <c r="U156" s="267">
        <f t="shared" si="70"/>
        <v>200</v>
      </c>
      <c r="V156" s="267" t="str">
        <f t="shared" ref="V156:V211" si="81">IF(L156&lt;&gt;"",L156&amp;M156&amp;N156,"")</f>
        <v>Acorus Calamus0</v>
      </c>
      <c r="W156" s="267" t="str">
        <f t="shared" si="80"/>
        <v/>
      </c>
      <c r="X156" s="267" t="str">
        <f>IF(W156&lt;&gt;"",1+COUNT(X$12:X155),"")</f>
        <v/>
      </c>
      <c r="Y156" s="267" t="str">
        <f t="shared" si="71"/>
        <v/>
      </c>
      <c r="Z156" s="267" t="str">
        <f t="shared" si="72"/>
        <v/>
      </c>
      <c r="AA156" s="267" t="str">
        <f t="shared" si="73"/>
        <v/>
      </c>
      <c r="AB156" s="267" t="str">
        <f t="shared" si="74"/>
        <v/>
      </c>
      <c r="AC156" s="267" t="str">
        <f t="shared" si="75"/>
        <v/>
      </c>
      <c r="AD156" s="267" t="str">
        <f t="shared" si="76"/>
        <v/>
      </c>
      <c r="AE156" s="267" t="str">
        <f t="shared" si="77"/>
        <v/>
      </c>
      <c r="AF156" s="267">
        <f t="shared" si="78"/>
        <v>0</v>
      </c>
      <c r="AG156" s="267" t="str">
        <f t="shared" si="79"/>
        <v/>
      </c>
      <c r="AH156" s="267" t="str">
        <f>IFERROR(RANK(AG156,AG$12:AG$211,1)+COUNTIF(AG$12:AG156,AG156)-1,"")</f>
        <v/>
      </c>
    </row>
    <row r="157" spans="1:34" x14ac:dyDescent="0.25">
      <c r="A157" s="267">
        <v>146</v>
      </c>
      <c r="B157" s="291" t="str">
        <f t="shared" si="62"/>
        <v/>
      </c>
      <c r="C157" s="292" t="str">
        <f t="shared" si="63"/>
        <v/>
      </c>
      <c r="D157" s="293" t="str">
        <f t="shared" si="64"/>
        <v/>
      </c>
      <c r="E157" s="294" t="str">
        <f t="shared" si="61"/>
        <v/>
      </c>
      <c r="F157" s="295" t="str">
        <f t="shared" si="65"/>
        <v/>
      </c>
      <c r="G157" s="281" t="str">
        <f t="shared" si="66"/>
        <v/>
      </c>
      <c r="H157" s="296" t="str">
        <f t="shared" si="67"/>
        <v/>
      </c>
      <c r="I157" s="297"/>
      <c r="J157" s="298"/>
      <c r="L157" s="267" t="str">
        <f>TB!AG149</f>
        <v>Acorus Calamus</v>
      </c>
      <c r="M157" s="267" t="str">
        <f>TB!AD149</f>
        <v/>
      </c>
      <c r="N157" s="267">
        <f>TB!AT149</f>
        <v>0</v>
      </c>
      <c r="O157" s="267">
        <f>TB!AV149</f>
        <v>38</v>
      </c>
      <c r="P157" s="267">
        <f t="shared" si="68"/>
        <v>0</v>
      </c>
      <c r="Q157" s="267">
        <f t="shared" si="69"/>
        <v>0</v>
      </c>
      <c r="R157" s="267" t="str">
        <f>TB!AU149</f>
        <v>x6</v>
      </c>
      <c r="S157" s="267">
        <f>COUNTIF(N$12:N157,N157)</f>
        <v>146</v>
      </c>
      <c r="T157" s="267">
        <v>1</v>
      </c>
      <c r="U157" s="267">
        <f t="shared" si="70"/>
        <v>200</v>
      </c>
      <c r="V157" s="267" t="str">
        <f t="shared" si="81"/>
        <v>Acorus Calamus0</v>
      </c>
      <c r="W157" s="267" t="str">
        <f t="shared" si="80"/>
        <v/>
      </c>
      <c r="X157" s="267" t="str">
        <f>IF(W157&lt;&gt;"",1+COUNT(X$12:X156),"")</f>
        <v/>
      </c>
      <c r="Y157" s="267" t="str">
        <f t="shared" si="71"/>
        <v/>
      </c>
      <c r="Z157" s="267" t="str">
        <f t="shared" si="72"/>
        <v/>
      </c>
      <c r="AA157" s="267" t="str">
        <f t="shared" si="73"/>
        <v/>
      </c>
      <c r="AB157" s="267" t="str">
        <f t="shared" si="74"/>
        <v/>
      </c>
      <c r="AC157" s="267" t="str">
        <f t="shared" si="75"/>
        <v/>
      </c>
      <c r="AD157" s="267" t="str">
        <f t="shared" si="76"/>
        <v/>
      </c>
      <c r="AE157" s="267" t="str">
        <f t="shared" si="77"/>
        <v/>
      </c>
      <c r="AF157" s="267">
        <f t="shared" si="78"/>
        <v>0</v>
      </c>
      <c r="AG157" s="267" t="str">
        <f t="shared" si="79"/>
        <v/>
      </c>
      <c r="AH157" s="267" t="str">
        <f>IFERROR(RANK(AG157,AG$12:AG$211,1)+COUNTIF(AG$12:AG157,AG157)-1,"")</f>
        <v/>
      </c>
    </row>
    <row r="158" spans="1:34" x14ac:dyDescent="0.25">
      <c r="A158" s="267">
        <v>147</v>
      </c>
      <c r="B158" s="291" t="str">
        <f t="shared" si="62"/>
        <v/>
      </c>
      <c r="C158" s="292" t="str">
        <f t="shared" si="63"/>
        <v/>
      </c>
      <c r="D158" s="293" t="str">
        <f t="shared" si="64"/>
        <v/>
      </c>
      <c r="E158" s="294" t="str">
        <f t="shared" si="61"/>
        <v/>
      </c>
      <c r="F158" s="295" t="str">
        <f t="shared" si="65"/>
        <v/>
      </c>
      <c r="G158" s="281" t="str">
        <f t="shared" si="66"/>
        <v/>
      </c>
      <c r="H158" s="296" t="str">
        <f t="shared" si="67"/>
        <v/>
      </c>
      <c r="I158" s="297"/>
      <c r="J158" s="298"/>
      <c r="L158" s="267" t="str">
        <f>TB!AG150</f>
        <v>Acorus Calamus</v>
      </c>
      <c r="M158" s="267" t="str">
        <f>TB!AD150</f>
        <v/>
      </c>
      <c r="N158" s="267">
        <f>TB!AT150</f>
        <v>0</v>
      </c>
      <c r="O158" s="267">
        <f>TB!AV150</f>
        <v>38</v>
      </c>
      <c r="P158" s="267">
        <f t="shared" si="68"/>
        <v>0</v>
      </c>
      <c r="Q158" s="267">
        <f t="shared" si="69"/>
        <v>0</v>
      </c>
      <c r="R158" s="267" t="str">
        <f>TB!AU150</f>
        <v>x6</v>
      </c>
      <c r="S158" s="267">
        <f>COUNTIF(N$12:N158,N158)</f>
        <v>147</v>
      </c>
      <c r="T158" s="267">
        <v>1</v>
      </c>
      <c r="U158" s="267">
        <f t="shared" si="70"/>
        <v>200</v>
      </c>
      <c r="V158" s="267" t="str">
        <f t="shared" si="81"/>
        <v>Acorus Calamus0</v>
      </c>
      <c r="W158" s="267" t="str">
        <f t="shared" si="80"/>
        <v/>
      </c>
      <c r="X158" s="267" t="str">
        <f>IF(W158&lt;&gt;"",1+COUNT(X$12:X157),"")</f>
        <v/>
      </c>
      <c r="Y158" s="267" t="str">
        <f t="shared" si="71"/>
        <v/>
      </c>
      <c r="Z158" s="267" t="str">
        <f t="shared" si="72"/>
        <v/>
      </c>
      <c r="AA158" s="267" t="str">
        <f t="shared" si="73"/>
        <v/>
      </c>
      <c r="AB158" s="267" t="str">
        <f t="shared" si="74"/>
        <v/>
      </c>
      <c r="AC158" s="267" t="str">
        <f t="shared" si="75"/>
        <v/>
      </c>
      <c r="AD158" s="267" t="str">
        <f t="shared" si="76"/>
        <v/>
      </c>
      <c r="AE158" s="267" t="str">
        <f t="shared" si="77"/>
        <v/>
      </c>
      <c r="AF158" s="267">
        <f t="shared" si="78"/>
        <v>0</v>
      </c>
      <c r="AG158" s="267" t="str">
        <f t="shared" si="79"/>
        <v/>
      </c>
      <c r="AH158" s="267" t="str">
        <f>IFERROR(RANK(AG158,AG$12:AG$211,1)+COUNTIF(AG$12:AG158,AG158)-1,"")</f>
        <v/>
      </c>
    </row>
    <row r="159" spans="1:34" x14ac:dyDescent="0.25">
      <c r="A159" s="267">
        <v>148</v>
      </c>
      <c r="B159" s="291" t="str">
        <f t="shared" si="62"/>
        <v/>
      </c>
      <c r="C159" s="292" t="str">
        <f t="shared" si="63"/>
        <v/>
      </c>
      <c r="D159" s="293" t="str">
        <f t="shared" si="64"/>
        <v/>
      </c>
      <c r="E159" s="294" t="str">
        <f t="shared" ref="E159:E190" si="82">_xlfn.SINGLE(_xlfn.XLOOKUP(A159,AH$12:AH$211,AA$12:AA$211,""))</f>
        <v/>
      </c>
      <c r="F159" s="295" t="str">
        <f t="shared" si="65"/>
        <v/>
      </c>
      <c r="G159" s="281" t="str">
        <f t="shared" si="66"/>
        <v/>
      </c>
      <c r="H159" s="296" t="str">
        <f t="shared" si="67"/>
        <v/>
      </c>
      <c r="I159" s="297"/>
      <c r="J159" s="298"/>
      <c r="L159" s="267" t="str">
        <f>TB!AG151</f>
        <v>Acorus Calamus</v>
      </c>
      <c r="M159" s="267" t="str">
        <f>TB!AD151</f>
        <v/>
      </c>
      <c r="N159" s="267">
        <f>TB!AT151</f>
        <v>0</v>
      </c>
      <c r="O159" s="267">
        <f>TB!AV151</f>
        <v>38</v>
      </c>
      <c r="P159" s="267">
        <f t="shared" si="68"/>
        <v>0</v>
      </c>
      <c r="Q159" s="267">
        <f t="shared" si="69"/>
        <v>0</v>
      </c>
      <c r="R159" s="267" t="str">
        <f>TB!AU151</f>
        <v>x6</v>
      </c>
      <c r="S159" s="267">
        <f>COUNTIF(N$12:N159,N159)</f>
        <v>148</v>
      </c>
      <c r="T159" s="267">
        <v>1</v>
      </c>
      <c r="U159" s="267">
        <f t="shared" si="70"/>
        <v>200</v>
      </c>
      <c r="V159" s="267" t="str">
        <f t="shared" si="81"/>
        <v>Acorus Calamus0</v>
      </c>
      <c r="W159" s="267" t="str">
        <f t="shared" si="80"/>
        <v/>
      </c>
      <c r="X159" s="267" t="str">
        <f>IF(W159&lt;&gt;"",1+COUNT(X$12:X158),"")</f>
        <v/>
      </c>
      <c r="Y159" s="267" t="str">
        <f t="shared" si="71"/>
        <v/>
      </c>
      <c r="Z159" s="267" t="str">
        <f t="shared" si="72"/>
        <v/>
      </c>
      <c r="AA159" s="267" t="str">
        <f t="shared" si="73"/>
        <v/>
      </c>
      <c r="AB159" s="267" t="str">
        <f t="shared" si="74"/>
        <v/>
      </c>
      <c r="AC159" s="267" t="str">
        <f t="shared" si="75"/>
        <v/>
      </c>
      <c r="AD159" s="267" t="str">
        <f t="shared" si="76"/>
        <v/>
      </c>
      <c r="AE159" s="267" t="str">
        <f t="shared" si="77"/>
        <v/>
      </c>
      <c r="AF159" s="267">
        <f t="shared" si="78"/>
        <v>0</v>
      </c>
      <c r="AG159" s="267" t="str">
        <f t="shared" si="79"/>
        <v/>
      </c>
      <c r="AH159" s="267" t="str">
        <f>IFERROR(RANK(AG159,AG$12:AG$211,1)+COUNTIF(AG$12:AG159,AG159)-1,"")</f>
        <v/>
      </c>
    </row>
    <row r="160" spans="1:34" x14ac:dyDescent="0.25">
      <c r="A160" s="267">
        <v>149</v>
      </c>
      <c r="B160" s="291" t="str">
        <f t="shared" si="62"/>
        <v/>
      </c>
      <c r="C160" s="292" t="str">
        <f t="shared" si="63"/>
        <v/>
      </c>
      <c r="D160" s="293" t="str">
        <f t="shared" si="64"/>
        <v/>
      </c>
      <c r="E160" s="294" t="str">
        <f t="shared" si="82"/>
        <v/>
      </c>
      <c r="F160" s="295" t="str">
        <f t="shared" si="65"/>
        <v/>
      </c>
      <c r="G160" s="281" t="str">
        <f t="shared" si="66"/>
        <v/>
      </c>
      <c r="H160" s="296" t="str">
        <f t="shared" si="67"/>
        <v/>
      </c>
      <c r="I160" s="297"/>
      <c r="J160" s="298"/>
      <c r="L160" s="267" t="str">
        <f>TB!AG152</f>
        <v>Acorus Calamus</v>
      </c>
      <c r="M160" s="267" t="str">
        <f>TB!AD152</f>
        <v/>
      </c>
      <c r="N160" s="267">
        <f>TB!AT152</f>
        <v>0</v>
      </c>
      <c r="O160" s="267">
        <f>TB!AV152</f>
        <v>38</v>
      </c>
      <c r="P160" s="267">
        <f t="shared" si="68"/>
        <v>0</v>
      </c>
      <c r="Q160" s="267">
        <f t="shared" si="69"/>
        <v>0</v>
      </c>
      <c r="R160" s="267" t="str">
        <f>TB!AU152</f>
        <v>x6</v>
      </c>
      <c r="S160" s="267">
        <f>COUNTIF(N$12:N160,N160)</f>
        <v>149</v>
      </c>
      <c r="T160" s="267">
        <v>1</v>
      </c>
      <c r="U160" s="267">
        <f t="shared" si="70"/>
        <v>200</v>
      </c>
      <c r="V160" s="267" t="str">
        <f t="shared" si="81"/>
        <v>Acorus Calamus0</v>
      </c>
      <c r="W160" s="267" t="str">
        <f t="shared" si="80"/>
        <v/>
      </c>
      <c r="X160" s="267" t="str">
        <f>IF(W160&lt;&gt;"",1+COUNT(X$12:X159),"")</f>
        <v/>
      </c>
      <c r="Y160" s="267" t="str">
        <f t="shared" si="71"/>
        <v/>
      </c>
      <c r="Z160" s="267" t="str">
        <f t="shared" si="72"/>
        <v/>
      </c>
      <c r="AA160" s="267" t="str">
        <f t="shared" si="73"/>
        <v/>
      </c>
      <c r="AB160" s="267" t="str">
        <f t="shared" si="74"/>
        <v/>
      </c>
      <c r="AC160" s="267" t="str">
        <f t="shared" si="75"/>
        <v/>
      </c>
      <c r="AD160" s="267" t="str">
        <f t="shared" si="76"/>
        <v/>
      </c>
      <c r="AE160" s="267" t="str">
        <f t="shared" si="77"/>
        <v/>
      </c>
      <c r="AF160" s="267">
        <f t="shared" si="78"/>
        <v>0</v>
      </c>
      <c r="AG160" s="267" t="str">
        <f t="shared" si="79"/>
        <v/>
      </c>
      <c r="AH160" s="267" t="str">
        <f>IFERROR(RANK(AG160,AG$12:AG$211,1)+COUNTIF(AG$12:AG160,AG160)-1,"")</f>
        <v/>
      </c>
    </row>
    <row r="161" spans="1:34" x14ac:dyDescent="0.25">
      <c r="A161" s="267">
        <v>150</v>
      </c>
      <c r="B161" s="291" t="str">
        <f t="shared" si="62"/>
        <v/>
      </c>
      <c r="C161" s="292" t="str">
        <f t="shared" si="63"/>
        <v/>
      </c>
      <c r="D161" s="293" t="str">
        <f t="shared" si="64"/>
        <v/>
      </c>
      <c r="E161" s="294" t="str">
        <f t="shared" si="82"/>
        <v/>
      </c>
      <c r="F161" s="295" t="str">
        <f t="shared" si="65"/>
        <v/>
      </c>
      <c r="G161" s="281" t="str">
        <f t="shared" si="66"/>
        <v/>
      </c>
      <c r="H161" s="296" t="str">
        <f t="shared" si="67"/>
        <v/>
      </c>
      <c r="I161" s="297"/>
      <c r="J161" s="298"/>
      <c r="L161" s="267" t="str">
        <f>TB!AG153</f>
        <v>Acorus Calamus</v>
      </c>
      <c r="M161" s="267" t="str">
        <f>TB!AD153</f>
        <v/>
      </c>
      <c r="N161" s="267">
        <f>TB!AT153</f>
        <v>0</v>
      </c>
      <c r="O161" s="267">
        <f>TB!AV153</f>
        <v>38</v>
      </c>
      <c r="P161" s="267">
        <f t="shared" si="68"/>
        <v>0</v>
      </c>
      <c r="Q161" s="267">
        <f t="shared" si="69"/>
        <v>0</v>
      </c>
      <c r="R161" s="267" t="str">
        <f>TB!AU153</f>
        <v>x6</v>
      </c>
      <c r="S161" s="267">
        <f>COUNTIF(N$12:N161,N161)</f>
        <v>150</v>
      </c>
      <c r="T161" s="267">
        <v>1</v>
      </c>
      <c r="U161" s="267">
        <f t="shared" si="70"/>
        <v>200</v>
      </c>
      <c r="V161" s="267" t="str">
        <f t="shared" si="81"/>
        <v>Acorus Calamus0</v>
      </c>
      <c r="W161" s="267" t="str">
        <f t="shared" si="80"/>
        <v/>
      </c>
      <c r="X161" s="267" t="str">
        <f>IF(W161&lt;&gt;"",1+COUNT(X$12:X160),"")</f>
        <v/>
      </c>
      <c r="Y161" s="267" t="str">
        <f t="shared" si="71"/>
        <v/>
      </c>
      <c r="Z161" s="267" t="str">
        <f t="shared" si="72"/>
        <v/>
      </c>
      <c r="AA161" s="267" t="str">
        <f t="shared" si="73"/>
        <v/>
      </c>
      <c r="AB161" s="267" t="str">
        <f t="shared" si="74"/>
        <v/>
      </c>
      <c r="AC161" s="267" t="str">
        <f t="shared" si="75"/>
        <v/>
      </c>
      <c r="AD161" s="267" t="str">
        <f t="shared" si="76"/>
        <v/>
      </c>
      <c r="AE161" s="267" t="str">
        <f t="shared" si="77"/>
        <v/>
      </c>
      <c r="AF161" s="267">
        <f t="shared" si="78"/>
        <v>0</v>
      </c>
      <c r="AG161" s="267" t="str">
        <f t="shared" si="79"/>
        <v/>
      </c>
      <c r="AH161" s="267" t="str">
        <f>IFERROR(RANK(AG161,AG$12:AG$211,1)+COUNTIF(AG$12:AG161,AG161)-1,"")</f>
        <v/>
      </c>
    </row>
    <row r="162" spans="1:34" x14ac:dyDescent="0.25">
      <c r="A162" s="267">
        <v>151</v>
      </c>
      <c r="B162" s="291" t="str">
        <f t="shared" si="62"/>
        <v/>
      </c>
      <c r="C162" s="292" t="str">
        <f t="shared" si="63"/>
        <v/>
      </c>
      <c r="D162" s="293" t="str">
        <f t="shared" si="64"/>
        <v/>
      </c>
      <c r="E162" s="294" t="str">
        <f t="shared" si="82"/>
        <v/>
      </c>
      <c r="F162" s="295" t="str">
        <f t="shared" si="65"/>
        <v/>
      </c>
      <c r="G162" s="281" t="str">
        <f t="shared" si="66"/>
        <v/>
      </c>
      <c r="H162" s="296" t="str">
        <f t="shared" si="67"/>
        <v/>
      </c>
      <c r="I162" s="297"/>
      <c r="J162" s="298"/>
      <c r="L162" s="267" t="str">
        <f>TB!AG154</f>
        <v>Acorus Calamus</v>
      </c>
      <c r="M162" s="267" t="str">
        <f>TB!AD154</f>
        <v/>
      </c>
      <c r="N162" s="267">
        <f>TB!AT154</f>
        <v>0</v>
      </c>
      <c r="O162" s="267">
        <f>TB!AV154</f>
        <v>38</v>
      </c>
      <c r="P162" s="267">
        <f t="shared" si="68"/>
        <v>0</v>
      </c>
      <c r="Q162" s="267">
        <f t="shared" si="69"/>
        <v>0</v>
      </c>
      <c r="R162" s="267" t="str">
        <f>TB!AU154</f>
        <v>x6</v>
      </c>
      <c r="S162" s="267">
        <f>COUNTIF(N$12:N162,N162)</f>
        <v>151</v>
      </c>
      <c r="T162" s="267">
        <v>1</v>
      </c>
      <c r="U162" s="267">
        <f t="shared" si="70"/>
        <v>200</v>
      </c>
      <c r="V162" s="267" t="str">
        <f t="shared" si="81"/>
        <v>Acorus Calamus0</v>
      </c>
      <c r="W162" s="267" t="str">
        <f t="shared" si="80"/>
        <v/>
      </c>
      <c r="X162" s="267" t="str">
        <f>IF(W162&lt;&gt;"",1+COUNT(X$12:X161),"")</f>
        <v/>
      </c>
      <c r="Y162" s="267" t="str">
        <f t="shared" si="71"/>
        <v/>
      </c>
      <c r="Z162" s="267" t="str">
        <f t="shared" si="72"/>
        <v/>
      </c>
      <c r="AA162" s="267" t="str">
        <f t="shared" si="73"/>
        <v/>
      </c>
      <c r="AB162" s="267" t="str">
        <f t="shared" si="74"/>
        <v/>
      </c>
      <c r="AC162" s="267" t="str">
        <f t="shared" si="75"/>
        <v/>
      </c>
      <c r="AD162" s="267" t="str">
        <f t="shared" si="76"/>
        <v/>
      </c>
      <c r="AE162" s="267" t="str">
        <f t="shared" si="77"/>
        <v/>
      </c>
      <c r="AF162" s="267">
        <f t="shared" si="78"/>
        <v>0</v>
      </c>
      <c r="AG162" s="267" t="str">
        <f t="shared" si="79"/>
        <v/>
      </c>
      <c r="AH162" s="267" t="str">
        <f>IFERROR(RANK(AG162,AG$12:AG$211,1)+COUNTIF(AG$12:AG162,AG162)-1,"")</f>
        <v/>
      </c>
    </row>
    <row r="163" spans="1:34" x14ac:dyDescent="0.25">
      <c r="A163" s="267">
        <v>152</v>
      </c>
      <c r="B163" s="291" t="str">
        <f t="shared" si="62"/>
        <v/>
      </c>
      <c r="C163" s="292" t="str">
        <f t="shared" si="63"/>
        <v/>
      </c>
      <c r="D163" s="293" t="str">
        <f t="shared" si="64"/>
        <v/>
      </c>
      <c r="E163" s="294" t="str">
        <f t="shared" si="82"/>
        <v/>
      </c>
      <c r="F163" s="295" t="str">
        <f t="shared" si="65"/>
        <v/>
      </c>
      <c r="G163" s="281" t="str">
        <f t="shared" si="66"/>
        <v/>
      </c>
      <c r="H163" s="296" t="str">
        <f t="shared" si="67"/>
        <v/>
      </c>
      <c r="I163" s="297"/>
      <c r="J163" s="298"/>
      <c r="L163" s="267" t="str">
        <f>TB!AG155</f>
        <v>Acorus Calamus</v>
      </c>
      <c r="M163" s="267" t="str">
        <f>TB!AD155</f>
        <v/>
      </c>
      <c r="N163" s="267">
        <f>TB!AT155</f>
        <v>0</v>
      </c>
      <c r="O163" s="267">
        <f>TB!AV155</f>
        <v>38</v>
      </c>
      <c r="P163" s="267">
        <f t="shared" si="68"/>
        <v>0</v>
      </c>
      <c r="Q163" s="267">
        <f t="shared" si="69"/>
        <v>0</v>
      </c>
      <c r="R163" s="267" t="str">
        <f>TB!AU155</f>
        <v>x6</v>
      </c>
      <c r="S163" s="267">
        <f>COUNTIF(N$12:N163,N163)</f>
        <v>152</v>
      </c>
      <c r="T163" s="267">
        <v>1</v>
      </c>
      <c r="U163" s="267">
        <f t="shared" si="70"/>
        <v>200</v>
      </c>
      <c r="V163" s="267" t="str">
        <f t="shared" si="81"/>
        <v>Acorus Calamus0</v>
      </c>
      <c r="W163" s="267" t="str">
        <f t="shared" si="80"/>
        <v/>
      </c>
      <c r="X163" s="267" t="str">
        <f>IF(W163&lt;&gt;"",1+COUNT(X$12:X162),"")</f>
        <v/>
      </c>
      <c r="Y163" s="267" t="str">
        <f t="shared" si="71"/>
        <v/>
      </c>
      <c r="Z163" s="267" t="str">
        <f t="shared" si="72"/>
        <v/>
      </c>
      <c r="AA163" s="267" t="str">
        <f t="shared" si="73"/>
        <v/>
      </c>
      <c r="AB163" s="267" t="str">
        <f t="shared" si="74"/>
        <v/>
      </c>
      <c r="AC163" s="267" t="str">
        <f t="shared" si="75"/>
        <v/>
      </c>
      <c r="AD163" s="267" t="str">
        <f t="shared" si="76"/>
        <v/>
      </c>
      <c r="AE163" s="267" t="str">
        <f t="shared" si="77"/>
        <v/>
      </c>
      <c r="AF163" s="267">
        <f t="shared" si="78"/>
        <v>0</v>
      </c>
      <c r="AG163" s="267" t="str">
        <f t="shared" si="79"/>
        <v/>
      </c>
      <c r="AH163" s="267" t="str">
        <f>IFERROR(RANK(AG163,AG$12:AG$211,1)+COUNTIF(AG$12:AG163,AG163)-1,"")</f>
        <v/>
      </c>
    </row>
    <row r="164" spans="1:34" x14ac:dyDescent="0.25">
      <c r="A164" s="267">
        <v>153</v>
      </c>
      <c r="B164" s="291" t="str">
        <f t="shared" si="62"/>
        <v/>
      </c>
      <c r="C164" s="292" t="str">
        <f t="shared" si="63"/>
        <v/>
      </c>
      <c r="D164" s="293" t="str">
        <f t="shared" si="64"/>
        <v/>
      </c>
      <c r="E164" s="294" t="str">
        <f t="shared" si="82"/>
        <v/>
      </c>
      <c r="F164" s="295" t="str">
        <f t="shared" si="65"/>
        <v/>
      </c>
      <c r="G164" s="281" t="str">
        <f t="shared" si="66"/>
        <v/>
      </c>
      <c r="H164" s="296" t="str">
        <f t="shared" si="67"/>
        <v/>
      </c>
      <c r="I164" s="297"/>
      <c r="J164" s="298"/>
      <c r="L164" s="267" t="str">
        <f>TB!AG156</f>
        <v>Acorus Calamus</v>
      </c>
      <c r="M164" s="267" t="str">
        <f>TB!AD156</f>
        <v/>
      </c>
      <c r="N164" s="267">
        <f>TB!AT156</f>
        <v>0</v>
      </c>
      <c r="O164" s="267">
        <f>TB!AV156</f>
        <v>38</v>
      </c>
      <c r="P164" s="267">
        <f t="shared" si="68"/>
        <v>0</v>
      </c>
      <c r="Q164" s="267">
        <f t="shared" si="69"/>
        <v>0</v>
      </c>
      <c r="R164" s="267" t="str">
        <f>TB!AU156</f>
        <v>x6</v>
      </c>
      <c r="S164" s="267">
        <f>COUNTIF(N$12:N164,N164)</f>
        <v>153</v>
      </c>
      <c r="T164" s="267">
        <v>1</v>
      </c>
      <c r="U164" s="267">
        <f t="shared" si="70"/>
        <v>200</v>
      </c>
      <c r="V164" s="267" t="str">
        <f t="shared" si="81"/>
        <v>Acorus Calamus0</v>
      </c>
      <c r="W164" s="267" t="str">
        <f t="shared" si="80"/>
        <v/>
      </c>
      <c r="X164" s="267" t="str">
        <f>IF(W164&lt;&gt;"",1+COUNT(X$12:X163),"")</f>
        <v/>
      </c>
      <c r="Y164" s="267" t="str">
        <f t="shared" si="71"/>
        <v/>
      </c>
      <c r="Z164" s="267" t="str">
        <f t="shared" si="72"/>
        <v/>
      </c>
      <c r="AA164" s="267" t="str">
        <f t="shared" si="73"/>
        <v/>
      </c>
      <c r="AB164" s="267" t="str">
        <f t="shared" si="74"/>
        <v/>
      </c>
      <c r="AC164" s="267" t="str">
        <f t="shared" si="75"/>
        <v/>
      </c>
      <c r="AD164" s="267" t="str">
        <f t="shared" si="76"/>
        <v/>
      </c>
      <c r="AE164" s="267" t="str">
        <f t="shared" si="77"/>
        <v/>
      </c>
      <c r="AF164" s="267">
        <f t="shared" si="78"/>
        <v>0</v>
      </c>
      <c r="AG164" s="267" t="str">
        <f t="shared" si="79"/>
        <v/>
      </c>
      <c r="AH164" s="267" t="str">
        <f>IFERROR(RANK(AG164,AG$12:AG$211,1)+COUNTIF(AG$12:AG164,AG164)-1,"")</f>
        <v/>
      </c>
    </row>
    <row r="165" spans="1:34" x14ac:dyDescent="0.25">
      <c r="A165" s="267">
        <v>154</v>
      </c>
      <c r="B165" s="291" t="str">
        <f t="shared" si="62"/>
        <v/>
      </c>
      <c r="C165" s="292" t="str">
        <f t="shared" si="63"/>
        <v/>
      </c>
      <c r="D165" s="293" t="str">
        <f t="shared" si="64"/>
        <v/>
      </c>
      <c r="E165" s="294" t="str">
        <f t="shared" si="82"/>
        <v/>
      </c>
      <c r="F165" s="295" t="str">
        <f t="shared" si="65"/>
        <v/>
      </c>
      <c r="G165" s="281" t="str">
        <f t="shared" si="66"/>
        <v/>
      </c>
      <c r="H165" s="296" t="str">
        <f t="shared" si="67"/>
        <v/>
      </c>
      <c r="I165" s="297"/>
      <c r="J165" s="298"/>
      <c r="L165" s="267" t="str">
        <f>TB!AG157</f>
        <v>Acorus Calamus</v>
      </c>
      <c r="M165" s="267" t="str">
        <f>TB!AD157</f>
        <v/>
      </c>
      <c r="N165" s="267">
        <f>TB!AT157</f>
        <v>0</v>
      </c>
      <c r="O165" s="267">
        <f>TB!AV157</f>
        <v>38</v>
      </c>
      <c r="P165" s="267">
        <f t="shared" si="68"/>
        <v>0</v>
      </c>
      <c r="Q165" s="267">
        <f t="shared" si="69"/>
        <v>0</v>
      </c>
      <c r="R165" s="267" t="str">
        <f>TB!AU157</f>
        <v>x6</v>
      </c>
      <c r="S165" s="267">
        <f>COUNTIF(N$12:N165,N165)</f>
        <v>154</v>
      </c>
      <c r="T165" s="267">
        <v>1</v>
      </c>
      <c r="U165" s="267">
        <f t="shared" si="70"/>
        <v>200</v>
      </c>
      <c r="V165" s="267" t="str">
        <f t="shared" si="81"/>
        <v>Acorus Calamus0</v>
      </c>
      <c r="W165" s="267" t="str">
        <f t="shared" si="80"/>
        <v/>
      </c>
      <c r="X165" s="267" t="str">
        <f>IF(W165&lt;&gt;"",1+COUNT(X$12:X164),"")</f>
        <v/>
      </c>
      <c r="Y165" s="267" t="str">
        <f t="shared" si="71"/>
        <v/>
      </c>
      <c r="Z165" s="267" t="str">
        <f t="shared" si="72"/>
        <v/>
      </c>
      <c r="AA165" s="267" t="str">
        <f t="shared" si="73"/>
        <v/>
      </c>
      <c r="AB165" s="267" t="str">
        <f t="shared" si="74"/>
        <v/>
      </c>
      <c r="AC165" s="267" t="str">
        <f t="shared" si="75"/>
        <v/>
      </c>
      <c r="AD165" s="267" t="str">
        <f t="shared" si="76"/>
        <v/>
      </c>
      <c r="AE165" s="267" t="str">
        <f t="shared" si="77"/>
        <v/>
      </c>
      <c r="AF165" s="267">
        <f t="shared" si="78"/>
        <v>0</v>
      </c>
      <c r="AG165" s="267" t="str">
        <f t="shared" si="79"/>
        <v/>
      </c>
      <c r="AH165" s="267" t="str">
        <f>IFERROR(RANK(AG165,AG$12:AG$211,1)+COUNTIF(AG$12:AG165,AG165)-1,"")</f>
        <v/>
      </c>
    </row>
    <row r="166" spans="1:34" x14ac:dyDescent="0.25">
      <c r="A166" s="267">
        <v>155</v>
      </c>
      <c r="B166" s="291" t="str">
        <f t="shared" si="62"/>
        <v/>
      </c>
      <c r="C166" s="292" t="str">
        <f t="shared" si="63"/>
        <v/>
      </c>
      <c r="D166" s="293" t="str">
        <f t="shared" si="64"/>
        <v/>
      </c>
      <c r="E166" s="294" t="str">
        <f t="shared" si="82"/>
        <v/>
      </c>
      <c r="F166" s="295" t="str">
        <f t="shared" si="65"/>
        <v/>
      </c>
      <c r="G166" s="281" t="str">
        <f t="shared" si="66"/>
        <v/>
      </c>
      <c r="H166" s="296" t="str">
        <f t="shared" si="67"/>
        <v/>
      </c>
      <c r="I166" s="297"/>
      <c r="J166" s="298"/>
      <c r="L166" s="267" t="str">
        <f>TB!AG158</f>
        <v>Acorus Calamus</v>
      </c>
      <c r="M166" s="267" t="str">
        <f>TB!AD158</f>
        <v/>
      </c>
      <c r="N166" s="267">
        <f>TB!AT158</f>
        <v>0</v>
      </c>
      <c r="O166" s="267">
        <f>TB!AV158</f>
        <v>38</v>
      </c>
      <c r="P166" s="267">
        <f t="shared" si="68"/>
        <v>0</v>
      </c>
      <c r="Q166" s="267">
        <f t="shared" si="69"/>
        <v>0</v>
      </c>
      <c r="R166" s="267" t="str">
        <f>TB!AU158</f>
        <v>x6</v>
      </c>
      <c r="S166" s="267">
        <f>COUNTIF(N$12:N166,N166)</f>
        <v>155</v>
      </c>
      <c r="T166" s="267">
        <v>1</v>
      </c>
      <c r="U166" s="267">
        <f t="shared" si="70"/>
        <v>200</v>
      </c>
      <c r="V166" s="267" t="str">
        <f t="shared" si="81"/>
        <v>Acorus Calamus0</v>
      </c>
      <c r="W166" s="267" t="str">
        <f t="shared" si="80"/>
        <v/>
      </c>
      <c r="X166" s="267" t="str">
        <f>IF(W166&lt;&gt;"",1+COUNT(X$12:X165),"")</f>
        <v/>
      </c>
      <c r="Y166" s="267" t="str">
        <f t="shared" si="71"/>
        <v/>
      </c>
      <c r="Z166" s="267" t="str">
        <f t="shared" si="72"/>
        <v/>
      </c>
      <c r="AA166" s="267" t="str">
        <f t="shared" si="73"/>
        <v/>
      </c>
      <c r="AB166" s="267" t="str">
        <f t="shared" si="74"/>
        <v/>
      </c>
      <c r="AC166" s="267" t="str">
        <f t="shared" si="75"/>
        <v/>
      </c>
      <c r="AD166" s="267" t="str">
        <f t="shared" si="76"/>
        <v/>
      </c>
      <c r="AE166" s="267" t="str">
        <f t="shared" si="77"/>
        <v/>
      </c>
      <c r="AF166" s="267">
        <f t="shared" si="78"/>
        <v>0</v>
      </c>
      <c r="AG166" s="267" t="str">
        <f t="shared" si="79"/>
        <v/>
      </c>
      <c r="AH166" s="267" t="str">
        <f>IFERROR(RANK(AG166,AG$12:AG$211,1)+COUNTIF(AG$12:AG166,AG166)-1,"")</f>
        <v/>
      </c>
    </row>
    <row r="167" spans="1:34" x14ac:dyDescent="0.25">
      <c r="A167" s="267">
        <v>156</v>
      </c>
      <c r="B167" s="291" t="str">
        <f t="shared" si="62"/>
        <v/>
      </c>
      <c r="C167" s="292" t="str">
        <f t="shared" si="63"/>
        <v/>
      </c>
      <c r="D167" s="293" t="str">
        <f t="shared" si="64"/>
        <v/>
      </c>
      <c r="E167" s="294" t="str">
        <f t="shared" si="82"/>
        <v/>
      </c>
      <c r="F167" s="295" t="str">
        <f t="shared" si="65"/>
        <v/>
      </c>
      <c r="G167" s="281" t="str">
        <f t="shared" si="66"/>
        <v/>
      </c>
      <c r="H167" s="296" t="str">
        <f t="shared" si="67"/>
        <v/>
      </c>
      <c r="I167" s="297"/>
      <c r="J167" s="298"/>
      <c r="L167" s="267" t="str">
        <f>TB!AG159</f>
        <v>Acorus Calamus</v>
      </c>
      <c r="M167" s="267" t="str">
        <f>TB!AD159</f>
        <v/>
      </c>
      <c r="N167" s="267">
        <f>TB!AT159</f>
        <v>0</v>
      </c>
      <c r="O167" s="267">
        <f>TB!AV159</f>
        <v>38</v>
      </c>
      <c r="P167" s="267">
        <f t="shared" si="68"/>
        <v>0</v>
      </c>
      <c r="Q167" s="267">
        <f t="shared" si="69"/>
        <v>0</v>
      </c>
      <c r="R167" s="267" t="str">
        <f>TB!AU159</f>
        <v>x6</v>
      </c>
      <c r="S167" s="267">
        <f>COUNTIF(N$12:N167,N167)</f>
        <v>156</v>
      </c>
      <c r="T167" s="267">
        <v>1</v>
      </c>
      <c r="U167" s="267">
        <f t="shared" si="70"/>
        <v>200</v>
      </c>
      <c r="V167" s="267" t="str">
        <f t="shared" si="81"/>
        <v>Acorus Calamus0</v>
      </c>
      <c r="W167" s="267" t="str">
        <f t="shared" si="80"/>
        <v/>
      </c>
      <c r="X167" s="267" t="str">
        <f>IF(W167&lt;&gt;"",1+COUNT(X$12:X166),"")</f>
        <v/>
      </c>
      <c r="Y167" s="267" t="str">
        <f t="shared" si="71"/>
        <v/>
      </c>
      <c r="Z167" s="267" t="str">
        <f t="shared" si="72"/>
        <v/>
      </c>
      <c r="AA167" s="267" t="str">
        <f t="shared" si="73"/>
        <v/>
      </c>
      <c r="AB167" s="267" t="str">
        <f t="shared" si="74"/>
        <v/>
      </c>
      <c r="AC167" s="267" t="str">
        <f t="shared" si="75"/>
        <v/>
      </c>
      <c r="AD167" s="267" t="str">
        <f t="shared" si="76"/>
        <v/>
      </c>
      <c r="AE167" s="267" t="str">
        <f t="shared" si="77"/>
        <v/>
      </c>
      <c r="AF167" s="267">
        <f t="shared" si="78"/>
        <v>0</v>
      </c>
      <c r="AG167" s="267" t="str">
        <f t="shared" si="79"/>
        <v/>
      </c>
      <c r="AH167" s="267" t="str">
        <f>IFERROR(RANK(AG167,AG$12:AG$211,1)+COUNTIF(AG$12:AG167,AG167)-1,"")</f>
        <v/>
      </c>
    </row>
    <row r="168" spans="1:34" x14ac:dyDescent="0.25">
      <c r="A168" s="267">
        <v>157</v>
      </c>
      <c r="B168" s="291" t="str">
        <f t="shared" si="62"/>
        <v/>
      </c>
      <c r="C168" s="292" t="str">
        <f t="shared" si="63"/>
        <v/>
      </c>
      <c r="D168" s="293" t="str">
        <f t="shared" si="64"/>
        <v/>
      </c>
      <c r="E168" s="294" t="str">
        <f t="shared" si="82"/>
        <v/>
      </c>
      <c r="F168" s="295" t="str">
        <f t="shared" si="65"/>
        <v/>
      </c>
      <c r="G168" s="281" t="str">
        <f t="shared" si="66"/>
        <v/>
      </c>
      <c r="H168" s="296" t="str">
        <f t="shared" si="67"/>
        <v/>
      </c>
      <c r="I168" s="297"/>
      <c r="J168" s="298"/>
      <c r="L168" s="267" t="str">
        <f>TB!AG160</f>
        <v>Acorus Calamus</v>
      </c>
      <c r="M168" s="267" t="str">
        <f>TB!AD160</f>
        <v/>
      </c>
      <c r="N168" s="267">
        <f>TB!AT160</f>
        <v>0</v>
      </c>
      <c r="O168" s="267">
        <f>TB!AV160</f>
        <v>38</v>
      </c>
      <c r="P168" s="267">
        <f t="shared" si="68"/>
        <v>0</v>
      </c>
      <c r="Q168" s="267">
        <f t="shared" si="69"/>
        <v>0</v>
      </c>
      <c r="R168" s="267" t="str">
        <f>TB!AU160</f>
        <v>x6</v>
      </c>
      <c r="S168" s="267">
        <f>COUNTIF(N$12:N168,N168)</f>
        <v>157</v>
      </c>
      <c r="T168" s="267">
        <v>1</v>
      </c>
      <c r="U168" s="267">
        <f t="shared" si="70"/>
        <v>200</v>
      </c>
      <c r="V168" s="267" t="str">
        <f t="shared" si="81"/>
        <v>Acorus Calamus0</v>
      </c>
      <c r="W168" s="267" t="str">
        <f t="shared" si="80"/>
        <v/>
      </c>
      <c r="X168" s="267" t="str">
        <f>IF(W168&lt;&gt;"",1+COUNT(X$12:X167),"")</f>
        <v/>
      </c>
      <c r="Y168" s="267" t="str">
        <f t="shared" si="71"/>
        <v/>
      </c>
      <c r="Z168" s="267" t="str">
        <f t="shared" si="72"/>
        <v/>
      </c>
      <c r="AA168" s="267" t="str">
        <f t="shared" si="73"/>
        <v/>
      </c>
      <c r="AB168" s="267" t="str">
        <f t="shared" si="74"/>
        <v/>
      </c>
      <c r="AC168" s="267" t="str">
        <f t="shared" si="75"/>
        <v/>
      </c>
      <c r="AD168" s="267" t="str">
        <f t="shared" si="76"/>
        <v/>
      </c>
      <c r="AE168" s="267" t="str">
        <f t="shared" si="77"/>
        <v/>
      </c>
      <c r="AF168" s="267">
        <f t="shared" si="78"/>
        <v>0</v>
      </c>
      <c r="AG168" s="267" t="str">
        <f t="shared" si="79"/>
        <v/>
      </c>
      <c r="AH168" s="267" t="str">
        <f>IFERROR(RANK(AG168,AG$12:AG$211,1)+COUNTIF(AG$12:AG168,AG168)-1,"")</f>
        <v/>
      </c>
    </row>
    <row r="169" spans="1:34" x14ac:dyDescent="0.25">
      <c r="A169" s="267">
        <v>158</v>
      </c>
      <c r="B169" s="291" t="str">
        <f t="shared" si="62"/>
        <v/>
      </c>
      <c r="C169" s="292" t="str">
        <f t="shared" si="63"/>
        <v/>
      </c>
      <c r="D169" s="293" t="str">
        <f t="shared" si="64"/>
        <v/>
      </c>
      <c r="E169" s="294" t="str">
        <f t="shared" si="82"/>
        <v/>
      </c>
      <c r="F169" s="295" t="str">
        <f t="shared" si="65"/>
        <v/>
      </c>
      <c r="G169" s="281" t="str">
        <f t="shared" si="66"/>
        <v/>
      </c>
      <c r="H169" s="296" t="str">
        <f t="shared" si="67"/>
        <v/>
      </c>
      <c r="I169" s="297"/>
      <c r="J169" s="298"/>
      <c r="L169" s="267" t="str">
        <f>TB!AG161</f>
        <v>Acorus Calamus</v>
      </c>
      <c r="M169" s="267" t="str">
        <f>TB!AD161</f>
        <v/>
      </c>
      <c r="N169" s="267">
        <f>TB!AT161</f>
        <v>0</v>
      </c>
      <c r="O169" s="267">
        <f>TB!AV161</f>
        <v>38</v>
      </c>
      <c r="P169" s="267">
        <f t="shared" si="68"/>
        <v>0</v>
      </c>
      <c r="Q169" s="267">
        <f t="shared" si="69"/>
        <v>0</v>
      </c>
      <c r="R169" s="267" t="str">
        <f>TB!AU161</f>
        <v>x6</v>
      </c>
      <c r="S169" s="267">
        <f>COUNTIF(N$12:N169,N169)</f>
        <v>158</v>
      </c>
      <c r="T169" s="267">
        <v>1</v>
      </c>
      <c r="U169" s="267">
        <f t="shared" si="70"/>
        <v>200</v>
      </c>
      <c r="V169" s="267" t="str">
        <f t="shared" si="81"/>
        <v>Acorus Calamus0</v>
      </c>
      <c r="W169" s="267" t="str">
        <f t="shared" si="80"/>
        <v/>
      </c>
      <c r="X169" s="267" t="str">
        <f>IF(W169&lt;&gt;"",1+COUNT(X$12:X168),"")</f>
        <v/>
      </c>
      <c r="Y169" s="267" t="str">
        <f t="shared" si="71"/>
        <v/>
      </c>
      <c r="Z169" s="267" t="str">
        <f t="shared" si="72"/>
        <v/>
      </c>
      <c r="AA169" s="267" t="str">
        <f t="shared" si="73"/>
        <v/>
      </c>
      <c r="AB169" s="267" t="str">
        <f t="shared" si="74"/>
        <v/>
      </c>
      <c r="AC169" s="267" t="str">
        <f t="shared" si="75"/>
        <v/>
      </c>
      <c r="AD169" s="267" t="str">
        <f t="shared" si="76"/>
        <v/>
      </c>
      <c r="AE169" s="267" t="str">
        <f t="shared" si="77"/>
        <v/>
      </c>
      <c r="AF169" s="267">
        <f t="shared" si="78"/>
        <v>0</v>
      </c>
      <c r="AG169" s="267" t="str">
        <f t="shared" si="79"/>
        <v/>
      </c>
      <c r="AH169" s="267" t="str">
        <f>IFERROR(RANK(AG169,AG$12:AG$211,1)+COUNTIF(AG$12:AG169,AG169)-1,"")</f>
        <v/>
      </c>
    </row>
    <row r="170" spans="1:34" x14ac:dyDescent="0.25">
      <c r="A170" s="267">
        <v>159</v>
      </c>
      <c r="B170" s="291" t="str">
        <f t="shared" si="62"/>
        <v/>
      </c>
      <c r="C170" s="292" t="str">
        <f t="shared" si="63"/>
        <v/>
      </c>
      <c r="D170" s="293" t="str">
        <f t="shared" si="64"/>
        <v/>
      </c>
      <c r="E170" s="294" t="str">
        <f t="shared" si="82"/>
        <v/>
      </c>
      <c r="F170" s="295" t="str">
        <f t="shared" si="65"/>
        <v/>
      </c>
      <c r="G170" s="281" t="str">
        <f t="shared" si="66"/>
        <v/>
      </c>
      <c r="H170" s="296" t="str">
        <f t="shared" si="67"/>
        <v/>
      </c>
      <c r="I170" s="297"/>
      <c r="J170" s="298"/>
      <c r="L170" s="267" t="str">
        <f>TB!AG162</f>
        <v>Acorus Calamus</v>
      </c>
      <c r="M170" s="267" t="str">
        <f>TB!AD162</f>
        <v/>
      </c>
      <c r="N170" s="267">
        <f>TB!AT162</f>
        <v>0</v>
      </c>
      <c r="O170" s="267">
        <f>TB!AV162</f>
        <v>38</v>
      </c>
      <c r="P170" s="267">
        <f t="shared" si="68"/>
        <v>0</v>
      </c>
      <c r="Q170" s="267">
        <f t="shared" si="69"/>
        <v>0</v>
      </c>
      <c r="R170" s="267" t="str">
        <f>TB!AU162</f>
        <v>x6</v>
      </c>
      <c r="S170" s="267">
        <f>COUNTIF(N$12:N170,N170)</f>
        <v>159</v>
      </c>
      <c r="T170" s="267">
        <v>1</v>
      </c>
      <c r="U170" s="267">
        <f t="shared" si="70"/>
        <v>200</v>
      </c>
      <c r="V170" s="267" t="str">
        <f t="shared" si="81"/>
        <v>Acorus Calamus0</v>
      </c>
      <c r="W170" s="267" t="str">
        <f t="shared" si="80"/>
        <v/>
      </c>
      <c r="X170" s="267" t="str">
        <f>IF(W170&lt;&gt;"",1+COUNT(X$12:X169),"")</f>
        <v/>
      </c>
      <c r="Y170" s="267" t="str">
        <f t="shared" si="71"/>
        <v/>
      </c>
      <c r="Z170" s="267" t="str">
        <f t="shared" si="72"/>
        <v/>
      </c>
      <c r="AA170" s="267" t="str">
        <f t="shared" si="73"/>
        <v/>
      </c>
      <c r="AB170" s="267" t="str">
        <f t="shared" si="74"/>
        <v/>
      </c>
      <c r="AC170" s="267" t="str">
        <f t="shared" si="75"/>
        <v/>
      </c>
      <c r="AD170" s="267" t="str">
        <f t="shared" si="76"/>
        <v/>
      </c>
      <c r="AE170" s="267" t="str">
        <f t="shared" si="77"/>
        <v/>
      </c>
      <c r="AF170" s="267">
        <f t="shared" si="78"/>
        <v>0</v>
      </c>
      <c r="AG170" s="267" t="str">
        <f t="shared" si="79"/>
        <v/>
      </c>
      <c r="AH170" s="267" t="str">
        <f>IFERROR(RANK(AG170,AG$12:AG$211,1)+COUNTIF(AG$12:AG170,AG170)-1,"")</f>
        <v/>
      </c>
    </row>
    <row r="171" spans="1:34" x14ac:dyDescent="0.25">
      <c r="A171" s="267">
        <v>160</v>
      </c>
      <c r="B171" s="291" t="str">
        <f t="shared" si="62"/>
        <v/>
      </c>
      <c r="C171" s="292" t="str">
        <f t="shared" si="63"/>
        <v/>
      </c>
      <c r="D171" s="293" t="str">
        <f t="shared" si="64"/>
        <v/>
      </c>
      <c r="E171" s="294" t="str">
        <f t="shared" si="82"/>
        <v/>
      </c>
      <c r="F171" s="295" t="str">
        <f t="shared" si="65"/>
        <v/>
      </c>
      <c r="G171" s="281" t="str">
        <f t="shared" si="66"/>
        <v/>
      </c>
      <c r="H171" s="296" t="str">
        <f t="shared" si="67"/>
        <v/>
      </c>
      <c r="I171" s="297"/>
      <c r="J171" s="298"/>
      <c r="L171" s="267" t="str">
        <f>TB!AG163</f>
        <v>Acorus Calamus</v>
      </c>
      <c r="M171" s="267" t="str">
        <f>TB!AD163</f>
        <v/>
      </c>
      <c r="N171" s="267">
        <f>TB!AT163</f>
        <v>0</v>
      </c>
      <c r="O171" s="267">
        <f>TB!AV163</f>
        <v>38</v>
      </c>
      <c r="P171" s="267">
        <f t="shared" si="68"/>
        <v>0</v>
      </c>
      <c r="Q171" s="267">
        <f t="shared" si="69"/>
        <v>0</v>
      </c>
      <c r="R171" s="267" t="str">
        <f>TB!AU163</f>
        <v>x6</v>
      </c>
      <c r="S171" s="267">
        <f>COUNTIF(N$12:N171,N171)</f>
        <v>160</v>
      </c>
      <c r="T171" s="267">
        <v>1</v>
      </c>
      <c r="U171" s="267">
        <f t="shared" si="70"/>
        <v>200</v>
      </c>
      <c r="V171" s="267" t="str">
        <f t="shared" si="81"/>
        <v>Acorus Calamus0</v>
      </c>
      <c r="W171" s="267" t="str">
        <f t="shared" si="80"/>
        <v/>
      </c>
      <c r="X171" s="267" t="str">
        <f>IF(W171&lt;&gt;"",1+COUNT(X$12:X170),"")</f>
        <v/>
      </c>
      <c r="Y171" s="267" t="str">
        <f t="shared" si="71"/>
        <v/>
      </c>
      <c r="Z171" s="267" t="str">
        <f t="shared" si="72"/>
        <v/>
      </c>
      <c r="AA171" s="267" t="str">
        <f t="shared" si="73"/>
        <v/>
      </c>
      <c r="AB171" s="267" t="str">
        <f t="shared" si="74"/>
        <v/>
      </c>
      <c r="AC171" s="267" t="str">
        <f t="shared" si="75"/>
        <v/>
      </c>
      <c r="AD171" s="267" t="str">
        <f t="shared" si="76"/>
        <v/>
      </c>
      <c r="AE171" s="267" t="str">
        <f t="shared" si="77"/>
        <v/>
      </c>
      <c r="AF171" s="267">
        <f t="shared" si="78"/>
        <v>0</v>
      </c>
      <c r="AG171" s="267" t="str">
        <f t="shared" si="79"/>
        <v/>
      </c>
      <c r="AH171" s="267" t="str">
        <f>IFERROR(RANK(AG171,AG$12:AG$211,1)+COUNTIF(AG$12:AG171,AG171)-1,"")</f>
        <v/>
      </c>
    </row>
    <row r="172" spans="1:34" x14ac:dyDescent="0.25">
      <c r="A172" s="267">
        <v>161</v>
      </c>
      <c r="B172" s="291" t="str">
        <f t="shared" ref="B172:B203" si="83">_xlfn.SINGLE(_xlfn.XLOOKUP(A172,AH$12:AH$211,Z$12:Z$211,""))</f>
        <v/>
      </c>
      <c r="C172" s="292" t="str">
        <f t="shared" ref="C172:C203" si="84">_xlfn.SINGLE(_xlfn.XLOOKUP(A172,AH$12:AH$211,AE$12:AE$211,""))</f>
        <v/>
      </c>
      <c r="D172" s="293" t="str">
        <f t="shared" si="64"/>
        <v/>
      </c>
      <c r="E172" s="294" t="str">
        <f t="shared" si="82"/>
        <v/>
      </c>
      <c r="F172" s="295" t="str">
        <f t="shared" si="65"/>
        <v/>
      </c>
      <c r="G172" s="281" t="str">
        <f t="shared" si="66"/>
        <v/>
      </c>
      <c r="H172" s="296" t="str">
        <f t="shared" si="67"/>
        <v/>
      </c>
      <c r="I172" s="297"/>
      <c r="J172" s="298"/>
      <c r="L172" s="267" t="str">
        <f>TB!AG164</f>
        <v>Acorus Calamus</v>
      </c>
      <c r="M172" s="267" t="str">
        <f>TB!AD164</f>
        <v/>
      </c>
      <c r="N172" s="267">
        <f>TB!AT164</f>
        <v>0</v>
      </c>
      <c r="O172" s="267">
        <f>TB!AV164</f>
        <v>38</v>
      </c>
      <c r="P172" s="267">
        <f t="shared" si="68"/>
        <v>0</v>
      </c>
      <c r="Q172" s="267">
        <f t="shared" si="69"/>
        <v>0</v>
      </c>
      <c r="R172" s="267" t="str">
        <f>TB!AU164</f>
        <v>x6</v>
      </c>
      <c r="S172" s="267">
        <f>COUNTIF(N$12:N172,N172)</f>
        <v>161</v>
      </c>
      <c r="T172" s="267">
        <v>1</v>
      </c>
      <c r="U172" s="267">
        <f t="shared" si="70"/>
        <v>200</v>
      </c>
      <c r="V172" s="267" t="str">
        <f t="shared" si="81"/>
        <v>Acorus Calamus0</v>
      </c>
      <c r="W172" s="267" t="str">
        <f t="shared" si="80"/>
        <v/>
      </c>
      <c r="X172" s="267" t="str">
        <f>IF(W172&lt;&gt;"",1+COUNT(X$12:X171),"")</f>
        <v/>
      </c>
      <c r="Y172" s="267" t="str">
        <f t="shared" si="71"/>
        <v/>
      </c>
      <c r="Z172" s="267" t="str">
        <f t="shared" si="72"/>
        <v/>
      </c>
      <c r="AA172" s="267" t="str">
        <f t="shared" si="73"/>
        <v/>
      </c>
      <c r="AB172" s="267" t="str">
        <f t="shared" si="74"/>
        <v/>
      </c>
      <c r="AC172" s="267" t="str">
        <f t="shared" si="75"/>
        <v/>
      </c>
      <c r="AD172" s="267" t="str">
        <f t="shared" si="76"/>
        <v/>
      </c>
      <c r="AE172" s="267" t="str">
        <f t="shared" si="77"/>
        <v/>
      </c>
      <c r="AF172" s="267">
        <f t="shared" si="78"/>
        <v>0</v>
      </c>
      <c r="AG172" s="267" t="str">
        <f t="shared" si="79"/>
        <v/>
      </c>
      <c r="AH172" s="267" t="str">
        <f>IFERROR(RANK(AG172,AG$12:AG$211,1)+COUNTIF(AG$12:AG172,AG172)-1,"")</f>
        <v/>
      </c>
    </row>
    <row r="173" spans="1:34" x14ac:dyDescent="0.25">
      <c r="A173" s="267">
        <v>162</v>
      </c>
      <c r="B173" s="291" t="str">
        <f t="shared" si="83"/>
        <v/>
      </c>
      <c r="C173" s="292" t="str">
        <f t="shared" si="84"/>
        <v/>
      </c>
      <c r="D173" s="293" t="str">
        <f t="shared" ref="D173:D204" si="85">_xlfn.SINGLE(_xlfn.XLOOKUP(A173,AH$12:AH$211,Y$12:Y$211,""))</f>
        <v/>
      </c>
      <c r="E173" s="294" t="str">
        <f t="shared" si="82"/>
        <v/>
      </c>
      <c r="F173" s="295" t="str">
        <f t="shared" ref="F173:F204" si="86">_xlfn.SINGLE(_xlfn.XLOOKUP(A173,AH$12:AH$211,AB$12:AB$211,""))</f>
        <v/>
      </c>
      <c r="G173" s="281" t="str">
        <f t="shared" ref="G173:G204" si="87">_xlfn.SINGLE(_xlfn.XLOOKUP(A173,AH$12:AH$211,AC$12:AC$211,""))</f>
        <v/>
      </c>
      <c r="H173" s="296" t="str">
        <f t="shared" ref="H173:H204" si="88">_xlfn.SINGLE(_xlfn.XLOOKUP(A173,AH$12:AH$211,AD$12:AD$211,""))</f>
        <v/>
      </c>
      <c r="I173" s="297"/>
      <c r="J173" s="298"/>
      <c r="L173" s="267" t="str">
        <f>TB!AG165</f>
        <v>Acorus Calamus</v>
      </c>
      <c r="M173" s="267" t="str">
        <f>TB!AD165</f>
        <v/>
      </c>
      <c r="N173" s="267">
        <f>TB!AT165</f>
        <v>0</v>
      </c>
      <c r="O173" s="267">
        <f>TB!AV165</f>
        <v>38</v>
      </c>
      <c r="P173" s="267">
        <f t="shared" si="68"/>
        <v>0</v>
      </c>
      <c r="Q173" s="267">
        <f t="shared" si="69"/>
        <v>0</v>
      </c>
      <c r="R173" s="267" t="str">
        <f>TB!AU165</f>
        <v>x6</v>
      </c>
      <c r="S173" s="267">
        <f>COUNTIF(N$12:N173,N173)</f>
        <v>162</v>
      </c>
      <c r="T173" s="267">
        <v>1</v>
      </c>
      <c r="U173" s="267">
        <f t="shared" si="70"/>
        <v>200</v>
      </c>
      <c r="V173" s="267" t="str">
        <f t="shared" si="81"/>
        <v>Acorus Calamus0</v>
      </c>
      <c r="W173" s="267" t="str">
        <f t="shared" si="80"/>
        <v/>
      </c>
      <c r="X173" s="267" t="str">
        <f>IF(W173&lt;&gt;"",1+COUNT(X$12:X172),"")</f>
        <v/>
      </c>
      <c r="Y173" s="267" t="str">
        <f t="shared" si="71"/>
        <v/>
      </c>
      <c r="Z173" s="267" t="str">
        <f t="shared" si="72"/>
        <v/>
      </c>
      <c r="AA173" s="267" t="str">
        <f t="shared" si="73"/>
        <v/>
      </c>
      <c r="AB173" s="267" t="str">
        <f t="shared" si="74"/>
        <v/>
      </c>
      <c r="AC173" s="267" t="str">
        <f t="shared" si="75"/>
        <v/>
      </c>
      <c r="AD173" s="267" t="str">
        <f t="shared" si="76"/>
        <v/>
      </c>
      <c r="AE173" s="267" t="str">
        <f t="shared" si="77"/>
        <v/>
      </c>
      <c r="AF173" s="267">
        <f t="shared" ref="AF173:AF204" si="89">_xlfn.SINGLE(_xlfn.XLOOKUP(AE173,AM$12:AM$122,AN$12:AN$122,0))</f>
        <v>0</v>
      </c>
      <c r="AG173" s="267" t="str">
        <f t="shared" si="79"/>
        <v/>
      </c>
      <c r="AH173" s="267" t="str">
        <f>IFERROR(RANK(AG173,AG$12:AG$211,1)+COUNTIF(AG$12:AG173,AG173)-1,"")</f>
        <v/>
      </c>
    </row>
    <row r="174" spans="1:34" x14ac:dyDescent="0.25">
      <c r="A174" s="267">
        <v>163</v>
      </c>
      <c r="B174" s="291" t="str">
        <f t="shared" si="83"/>
        <v/>
      </c>
      <c r="C174" s="292" t="str">
        <f t="shared" si="84"/>
        <v/>
      </c>
      <c r="D174" s="293" t="str">
        <f t="shared" si="85"/>
        <v/>
      </c>
      <c r="E174" s="294" t="str">
        <f t="shared" si="82"/>
        <v/>
      </c>
      <c r="F174" s="295" t="str">
        <f t="shared" si="86"/>
        <v/>
      </c>
      <c r="G174" s="281" t="str">
        <f t="shared" si="87"/>
        <v/>
      </c>
      <c r="H174" s="296" t="str">
        <f t="shared" si="88"/>
        <v/>
      </c>
      <c r="I174" s="297"/>
      <c r="J174" s="298"/>
      <c r="L174" s="267" t="str">
        <f>TB!AG166</f>
        <v>Acorus Calamus</v>
      </c>
      <c r="M174" s="267" t="str">
        <f>TB!AD166</f>
        <v/>
      </c>
      <c r="N174" s="267">
        <f>TB!AT166</f>
        <v>0</v>
      </c>
      <c r="O174" s="267">
        <f>TB!AV166</f>
        <v>38</v>
      </c>
      <c r="P174" s="267">
        <f t="shared" si="68"/>
        <v>0</v>
      </c>
      <c r="Q174" s="267">
        <f t="shared" si="69"/>
        <v>0</v>
      </c>
      <c r="R174" s="267" t="str">
        <f>TB!AU166</f>
        <v>x6</v>
      </c>
      <c r="S174" s="267">
        <f>COUNTIF(N$12:N174,N174)</f>
        <v>163</v>
      </c>
      <c r="T174" s="267">
        <v>1</v>
      </c>
      <c r="U174" s="267">
        <f t="shared" si="70"/>
        <v>200</v>
      </c>
      <c r="V174" s="267" t="str">
        <f t="shared" si="81"/>
        <v>Acorus Calamus0</v>
      </c>
      <c r="W174" s="267" t="str">
        <f t="shared" si="80"/>
        <v/>
      </c>
      <c r="X174" s="267" t="str">
        <f>IF(W174&lt;&gt;"",1+COUNT(X$12:X173),"")</f>
        <v/>
      </c>
      <c r="Y174" s="267" t="str">
        <f t="shared" si="71"/>
        <v/>
      </c>
      <c r="Z174" s="267" t="str">
        <f t="shared" si="72"/>
        <v/>
      </c>
      <c r="AA174" s="267" t="str">
        <f t="shared" si="73"/>
        <v/>
      </c>
      <c r="AB174" s="267" t="str">
        <f t="shared" si="74"/>
        <v/>
      </c>
      <c r="AC174" s="267" t="str">
        <f t="shared" si="75"/>
        <v/>
      </c>
      <c r="AD174" s="267" t="str">
        <f t="shared" si="76"/>
        <v/>
      </c>
      <c r="AE174" s="267" t="str">
        <f t="shared" si="77"/>
        <v/>
      </c>
      <c r="AF174" s="267">
        <f t="shared" si="89"/>
        <v>0</v>
      </c>
      <c r="AG174" s="267" t="str">
        <f t="shared" si="79"/>
        <v/>
      </c>
      <c r="AH174" s="267" t="str">
        <f>IFERROR(RANK(AG174,AG$12:AG$211,1)+COUNTIF(AG$12:AG174,AG174)-1,"")</f>
        <v/>
      </c>
    </row>
    <row r="175" spans="1:34" x14ac:dyDescent="0.25">
      <c r="A175" s="267">
        <v>164</v>
      </c>
      <c r="B175" s="291" t="str">
        <f t="shared" si="83"/>
        <v/>
      </c>
      <c r="C175" s="292" t="str">
        <f t="shared" si="84"/>
        <v/>
      </c>
      <c r="D175" s="293" t="str">
        <f t="shared" si="85"/>
        <v/>
      </c>
      <c r="E175" s="294" t="str">
        <f t="shared" si="82"/>
        <v/>
      </c>
      <c r="F175" s="295" t="str">
        <f t="shared" si="86"/>
        <v/>
      </c>
      <c r="G175" s="281" t="str">
        <f t="shared" si="87"/>
        <v/>
      </c>
      <c r="H175" s="296" t="str">
        <f t="shared" si="88"/>
        <v/>
      </c>
      <c r="I175" s="297"/>
      <c r="J175" s="298"/>
      <c r="L175" s="267" t="str">
        <f>TB!AG167</f>
        <v>Acorus Calamus</v>
      </c>
      <c r="M175" s="267" t="str">
        <f>TB!AD167</f>
        <v/>
      </c>
      <c r="N175" s="267">
        <f>TB!AT167</f>
        <v>0</v>
      </c>
      <c r="O175" s="267">
        <f>TB!AV167</f>
        <v>38</v>
      </c>
      <c r="P175" s="267">
        <f t="shared" si="68"/>
        <v>0</v>
      </c>
      <c r="Q175" s="267">
        <f t="shared" si="69"/>
        <v>0</v>
      </c>
      <c r="R175" s="267" t="str">
        <f>TB!AU167</f>
        <v>x6</v>
      </c>
      <c r="S175" s="267">
        <f>COUNTIF(N$12:N175,N175)</f>
        <v>164</v>
      </c>
      <c r="T175" s="267">
        <v>1</v>
      </c>
      <c r="U175" s="267">
        <f t="shared" si="70"/>
        <v>200</v>
      </c>
      <c r="V175" s="267" t="str">
        <f t="shared" si="81"/>
        <v>Acorus Calamus0</v>
      </c>
      <c r="W175" s="267" t="str">
        <f t="shared" si="80"/>
        <v/>
      </c>
      <c r="X175" s="267" t="str">
        <f>IF(W175&lt;&gt;"",1+COUNT(X$12:X174),"")</f>
        <v/>
      </c>
      <c r="Y175" s="267" t="str">
        <f t="shared" si="71"/>
        <v/>
      </c>
      <c r="Z175" s="267" t="str">
        <f t="shared" si="72"/>
        <v/>
      </c>
      <c r="AA175" s="267" t="str">
        <f t="shared" si="73"/>
        <v/>
      </c>
      <c r="AB175" s="267" t="str">
        <f t="shared" si="74"/>
        <v/>
      </c>
      <c r="AC175" s="267" t="str">
        <f t="shared" si="75"/>
        <v/>
      </c>
      <c r="AD175" s="267" t="str">
        <f t="shared" si="76"/>
        <v/>
      </c>
      <c r="AE175" s="267" t="str">
        <f t="shared" si="77"/>
        <v/>
      </c>
      <c r="AF175" s="267">
        <f t="shared" si="89"/>
        <v>0</v>
      </c>
      <c r="AG175" s="267" t="str">
        <f t="shared" si="79"/>
        <v/>
      </c>
      <c r="AH175" s="267" t="str">
        <f>IFERROR(RANK(AG175,AG$12:AG$211,1)+COUNTIF(AG$12:AG175,AG175)-1,"")</f>
        <v/>
      </c>
    </row>
    <row r="176" spans="1:34" x14ac:dyDescent="0.25">
      <c r="A176" s="267">
        <v>165</v>
      </c>
      <c r="B176" s="291" t="str">
        <f t="shared" si="83"/>
        <v/>
      </c>
      <c r="C176" s="292" t="str">
        <f t="shared" si="84"/>
        <v/>
      </c>
      <c r="D176" s="293" t="str">
        <f t="shared" si="85"/>
        <v/>
      </c>
      <c r="E176" s="294" t="str">
        <f t="shared" si="82"/>
        <v/>
      </c>
      <c r="F176" s="295" t="str">
        <f t="shared" si="86"/>
        <v/>
      </c>
      <c r="G176" s="281" t="str">
        <f t="shared" si="87"/>
        <v/>
      </c>
      <c r="H176" s="296" t="str">
        <f t="shared" si="88"/>
        <v/>
      </c>
      <c r="I176" s="297"/>
      <c r="J176" s="298"/>
      <c r="L176" s="267" t="str">
        <f>TB!AG168</f>
        <v>Acorus Calamus</v>
      </c>
      <c r="M176" s="267" t="str">
        <f>TB!AD168</f>
        <v/>
      </c>
      <c r="N176" s="267">
        <f>TB!AT168</f>
        <v>0</v>
      </c>
      <c r="O176" s="267">
        <f>TB!AV168</f>
        <v>38</v>
      </c>
      <c r="P176" s="267">
        <f t="shared" si="68"/>
        <v>0</v>
      </c>
      <c r="Q176" s="267">
        <f t="shared" si="69"/>
        <v>0</v>
      </c>
      <c r="R176" s="267" t="str">
        <f>TB!AU168</f>
        <v>x6</v>
      </c>
      <c r="S176" s="267">
        <f>COUNTIF(N$12:N176,N176)</f>
        <v>165</v>
      </c>
      <c r="T176" s="267">
        <v>1</v>
      </c>
      <c r="U176" s="267">
        <f t="shared" si="70"/>
        <v>200</v>
      </c>
      <c r="V176" s="267" t="str">
        <f t="shared" si="81"/>
        <v>Acorus Calamus0</v>
      </c>
      <c r="W176" s="267" t="str">
        <f t="shared" si="80"/>
        <v/>
      </c>
      <c r="X176" s="267" t="str">
        <f>IF(W176&lt;&gt;"",1+COUNT(X$12:X175),"")</f>
        <v/>
      </c>
      <c r="Y176" s="267" t="str">
        <f t="shared" si="71"/>
        <v/>
      </c>
      <c r="Z176" s="267" t="str">
        <f t="shared" si="72"/>
        <v/>
      </c>
      <c r="AA176" s="267" t="str">
        <f t="shared" si="73"/>
        <v/>
      </c>
      <c r="AB176" s="267" t="str">
        <f t="shared" si="74"/>
        <v/>
      </c>
      <c r="AC176" s="267" t="str">
        <f t="shared" si="75"/>
        <v/>
      </c>
      <c r="AD176" s="267" t="str">
        <f t="shared" si="76"/>
        <v/>
      </c>
      <c r="AE176" s="267" t="str">
        <f t="shared" si="77"/>
        <v/>
      </c>
      <c r="AF176" s="267">
        <f t="shared" si="89"/>
        <v>0</v>
      </c>
      <c r="AG176" s="267" t="str">
        <f t="shared" si="79"/>
        <v/>
      </c>
      <c r="AH176" s="267" t="str">
        <f>IFERROR(RANK(AG176,AG$12:AG$211,1)+COUNTIF(AG$12:AG176,AG176)-1,"")</f>
        <v/>
      </c>
    </row>
    <row r="177" spans="1:34" x14ac:dyDescent="0.25">
      <c r="A177" s="267">
        <v>166</v>
      </c>
      <c r="B177" s="291" t="str">
        <f t="shared" si="83"/>
        <v/>
      </c>
      <c r="C177" s="292" t="str">
        <f t="shared" si="84"/>
        <v/>
      </c>
      <c r="D177" s="293" t="str">
        <f t="shared" si="85"/>
        <v/>
      </c>
      <c r="E177" s="294" t="str">
        <f t="shared" si="82"/>
        <v/>
      </c>
      <c r="F177" s="295" t="str">
        <f t="shared" si="86"/>
        <v/>
      </c>
      <c r="G177" s="281" t="str">
        <f t="shared" si="87"/>
        <v/>
      </c>
      <c r="H177" s="296" t="str">
        <f t="shared" si="88"/>
        <v/>
      </c>
      <c r="I177" s="297"/>
      <c r="J177" s="298"/>
      <c r="L177" s="267" t="str">
        <f>TB!AG169</f>
        <v>Acorus Calamus</v>
      </c>
      <c r="M177" s="267" t="str">
        <f>TB!AD169</f>
        <v/>
      </c>
      <c r="N177" s="267">
        <f>TB!AT169</f>
        <v>0</v>
      </c>
      <c r="O177" s="267">
        <f>TB!AV169</f>
        <v>38</v>
      </c>
      <c r="P177" s="267">
        <f t="shared" si="68"/>
        <v>0</v>
      </c>
      <c r="Q177" s="267">
        <f t="shared" si="69"/>
        <v>0</v>
      </c>
      <c r="R177" s="267" t="str">
        <f>TB!AU169</f>
        <v>x6</v>
      </c>
      <c r="S177" s="267">
        <f>COUNTIF(N$12:N177,N177)</f>
        <v>166</v>
      </c>
      <c r="T177" s="267">
        <v>1</v>
      </c>
      <c r="U177" s="267">
        <f t="shared" si="70"/>
        <v>200</v>
      </c>
      <c r="V177" s="267" t="str">
        <f t="shared" si="81"/>
        <v>Acorus Calamus0</v>
      </c>
      <c r="W177" s="267" t="str">
        <f t="shared" si="80"/>
        <v/>
      </c>
      <c r="X177" s="267" t="str">
        <f>IF(W177&lt;&gt;"",1+COUNT(X$12:X176),"")</f>
        <v/>
      </c>
      <c r="Y177" s="267" t="str">
        <f t="shared" si="71"/>
        <v/>
      </c>
      <c r="Z177" s="267" t="str">
        <f t="shared" si="72"/>
        <v/>
      </c>
      <c r="AA177" s="267" t="str">
        <f t="shared" si="73"/>
        <v/>
      </c>
      <c r="AB177" s="267" t="str">
        <f t="shared" si="74"/>
        <v/>
      </c>
      <c r="AC177" s="267" t="str">
        <f t="shared" si="75"/>
        <v/>
      </c>
      <c r="AD177" s="267" t="str">
        <f t="shared" si="76"/>
        <v/>
      </c>
      <c r="AE177" s="267" t="str">
        <f t="shared" si="77"/>
        <v/>
      </c>
      <c r="AF177" s="267">
        <f t="shared" si="89"/>
        <v>0</v>
      </c>
      <c r="AG177" s="267" t="str">
        <f t="shared" si="79"/>
        <v/>
      </c>
      <c r="AH177" s="267" t="str">
        <f>IFERROR(RANK(AG177,AG$12:AG$211,1)+COUNTIF(AG$12:AG177,AG177)-1,"")</f>
        <v/>
      </c>
    </row>
    <row r="178" spans="1:34" x14ac:dyDescent="0.25">
      <c r="A178" s="267">
        <v>167</v>
      </c>
      <c r="B178" s="291" t="str">
        <f t="shared" si="83"/>
        <v/>
      </c>
      <c r="C178" s="292" t="str">
        <f t="shared" si="84"/>
        <v/>
      </c>
      <c r="D178" s="293" t="str">
        <f t="shared" si="85"/>
        <v/>
      </c>
      <c r="E178" s="294" t="str">
        <f t="shared" si="82"/>
        <v/>
      </c>
      <c r="F178" s="295" t="str">
        <f t="shared" si="86"/>
        <v/>
      </c>
      <c r="G178" s="281" t="str">
        <f t="shared" si="87"/>
        <v/>
      </c>
      <c r="H178" s="296" t="str">
        <f t="shared" si="88"/>
        <v/>
      </c>
      <c r="I178" s="297"/>
      <c r="J178" s="298"/>
      <c r="L178" s="267" t="str">
        <f>TB!AG170</f>
        <v>Acorus Calamus</v>
      </c>
      <c r="M178" s="267" t="str">
        <f>TB!AD170</f>
        <v/>
      </c>
      <c r="N178" s="267">
        <f>TB!AT170</f>
        <v>0</v>
      </c>
      <c r="O178" s="267">
        <f>TB!AV170</f>
        <v>38</v>
      </c>
      <c r="P178" s="267">
        <f t="shared" si="68"/>
        <v>0</v>
      </c>
      <c r="Q178" s="267">
        <f t="shared" si="69"/>
        <v>0</v>
      </c>
      <c r="R178" s="267" t="str">
        <f>TB!AU170</f>
        <v>x6</v>
      </c>
      <c r="S178" s="267">
        <f>COUNTIF(N$12:N178,N178)</f>
        <v>167</v>
      </c>
      <c r="T178" s="267">
        <v>1</v>
      </c>
      <c r="U178" s="267">
        <f t="shared" si="70"/>
        <v>200</v>
      </c>
      <c r="V178" s="267" t="str">
        <f t="shared" si="81"/>
        <v>Acorus Calamus0</v>
      </c>
      <c r="W178" s="267" t="str">
        <f t="shared" si="80"/>
        <v/>
      </c>
      <c r="X178" s="267" t="str">
        <f>IF(W178&lt;&gt;"",1+COUNT(X$12:X177),"")</f>
        <v/>
      </c>
      <c r="Y178" s="267" t="str">
        <f t="shared" si="71"/>
        <v/>
      </c>
      <c r="Z178" s="267" t="str">
        <f t="shared" si="72"/>
        <v/>
      </c>
      <c r="AA178" s="267" t="str">
        <f t="shared" si="73"/>
        <v/>
      </c>
      <c r="AB178" s="267" t="str">
        <f t="shared" si="74"/>
        <v/>
      </c>
      <c r="AC178" s="267" t="str">
        <f t="shared" si="75"/>
        <v/>
      </c>
      <c r="AD178" s="267" t="str">
        <f t="shared" si="76"/>
        <v/>
      </c>
      <c r="AE178" s="267" t="str">
        <f t="shared" si="77"/>
        <v/>
      </c>
      <c r="AF178" s="267">
        <f t="shared" si="89"/>
        <v>0</v>
      </c>
      <c r="AG178" s="267" t="str">
        <f t="shared" si="79"/>
        <v/>
      </c>
      <c r="AH178" s="267" t="str">
        <f>IFERROR(RANK(AG178,AG$12:AG$211,1)+COUNTIF(AG$12:AG178,AG178)-1,"")</f>
        <v/>
      </c>
    </row>
    <row r="179" spans="1:34" x14ac:dyDescent="0.25">
      <c r="A179" s="267">
        <v>168</v>
      </c>
      <c r="B179" s="291" t="str">
        <f t="shared" si="83"/>
        <v/>
      </c>
      <c r="C179" s="292" t="str">
        <f t="shared" si="84"/>
        <v/>
      </c>
      <c r="D179" s="293" t="str">
        <f t="shared" si="85"/>
        <v/>
      </c>
      <c r="E179" s="294" t="str">
        <f t="shared" si="82"/>
        <v/>
      </c>
      <c r="F179" s="295" t="str">
        <f t="shared" si="86"/>
        <v/>
      </c>
      <c r="G179" s="281" t="str">
        <f t="shared" si="87"/>
        <v/>
      </c>
      <c r="H179" s="296" t="str">
        <f t="shared" si="88"/>
        <v/>
      </c>
      <c r="I179" s="297"/>
      <c r="J179" s="298"/>
      <c r="L179" s="267" t="str">
        <f>TB!AG171</f>
        <v>Acorus Calamus</v>
      </c>
      <c r="M179" s="267" t="str">
        <f>TB!AD171</f>
        <v/>
      </c>
      <c r="N179" s="267">
        <f>TB!AT171</f>
        <v>0</v>
      </c>
      <c r="O179" s="267">
        <f>TB!AV171</f>
        <v>38</v>
      </c>
      <c r="P179" s="267">
        <f t="shared" si="68"/>
        <v>0</v>
      </c>
      <c r="Q179" s="267">
        <f t="shared" si="69"/>
        <v>0</v>
      </c>
      <c r="R179" s="267" t="str">
        <f>TB!AU171</f>
        <v>x6</v>
      </c>
      <c r="S179" s="267">
        <f>COUNTIF(N$12:N179,N179)</f>
        <v>168</v>
      </c>
      <c r="T179" s="267">
        <v>1</v>
      </c>
      <c r="U179" s="267">
        <f t="shared" si="70"/>
        <v>200</v>
      </c>
      <c r="V179" s="267" t="str">
        <f t="shared" si="81"/>
        <v>Acorus Calamus0</v>
      </c>
      <c r="W179" s="267" t="str">
        <f t="shared" si="80"/>
        <v/>
      </c>
      <c r="X179" s="267" t="str">
        <f>IF(W179&lt;&gt;"",1+COUNT(X$12:X178),"")</f>
        <v/>
      </c>
      <c r="Y179" s="267" t="str">
        <f t="shared" si="71"/>
        <v/>
      </c>
      <c r="Z179" s="267" t="str">
        <f t="shared" si="72"/>
        <v/>
      </c>
      <c r="AA179" s="267" t="str">
        <f t="shared" si="73"/>
        <v/>
      </c>
      <c r="AB179" s="267" t="str">
        <f t="shared" si="74"/>
        <v/>
      </c>
      <c r="AC179" s="267" t="str">
        <f t="shared" si="75"/>
        <v/>
      </c>
      <c r="AD179" s="267" t="str">
        <f t="shared" si="76"/>
        <v/>
      </c>
      <c r="AE179" s="267" t="str">
        <f t="shared" si="77"/>
        <v/>
      </c>
      <c r="AF179" s="267">
        <f t="shared" si="89"/>
        <v>0</v>
      </c>
      <c r="AG179" s="267" t="str">
        <f t="shared" si="79"/>
        <v/>
      </c>
      <c r="AH179" s="267" t="str">
        <f>IFERROR(RANK(AG179,AG$12:AG$211,1)+COUNTIF(AG$12:AG179,AG179)-1,"")</f>
        <v/>
      </c>
    </row>
    <row r="180" spans="1:34" x14ac:dyDescent="0.25">
      <c r="A180" s="267">
        <v>169</v>
      </c>
      <c r="B180" s="291" t="str">
        <f t="shared" si="83"/>
        <v/>
      </c>
      <c r="C180" s="292" t="str">
        <f t="shared" si="84"/>
        <v/>
      </c>
      <c r="D180" s="293" t="str">
        <f t="shared" si="85"/>
        <v/>
      </c>
      <c r="E180" s="294" t="str">
        <f t="shared" si="82"/>
        <v/>
      </c>
      <c r="F180" s="295" t="str">
        <f t="shared" si="86"/>
        <v/>
      </c>
      <c r="G180" s="281" t="str">
        <f t="shared" si="87"/>
        <v/>
      </c>
      <c r="H180" s="296" t="str">
        <f t="shared" si="88"/>
        <v/>
      </c>
      <c r="I180" s="297"/>
      <c r="J180" s="298"/>
      <c r="L180" s="267" t="str">
        <f>TB!AG172</f>
        <v>Acorus Calamus</v>
      </c>
      <c r="M180" s="267" t="str">
        <f>TB!AD172</f>
        <v/>
      </c>
      <c r="N180" s="267">
        <f>TB!AT172</f>
        <v>0</v>
      </c>
      <c r="O180" s="267">
        <f>TB!AV172</f>
        <v>38</v>
      </c>
      <c r="P180" s="267">
        <f t="shared" si="68"/>
        <v>0</v>
      </c>
      <c r="Q180" s="267">
        <f t="shared" si="69"/>
        <v>0</v>
      </c>
      <c r="R180" s="267" t="str">
        <f>TB!AU172</f>
        <v>x6</v>
      </c>
      <c r="S180" s="267">
        <f>COUNTIF(N$12:N180,N180)</f>
        <v>169</v>
      </c>
      <c r="T180" s="267">
        <v>1</v>
      </c>
      <c r="U180" s="267">
        <f t="shared" si="70"/>
        <v>200</v>
      </c>
      <c r="V180" s="267" t="str">
        <f t="shared" si="81"/>
        <v>Acorus Calamus0</v>
      </c>
      <c r="W180" s="267" t="str">
        <f t="shared" si="80"/>
        <v/>
      </c>
      <c r="X180" s="267" t="str">
        <f>IF(W180&lt;&gt;"",1+COUNT(X$12:X179),"")</f>
        <v/>
      </c>
      <c r="Y180" s="267" t="str">
        <f t="shared" si="71"/>
        <v/>
      </c>
      <c r="Z180" s="267" t="str">
        <f t="shared" si="72"/>
        <v/>
      </c>
      <c r="AA180" s="267" t="str">
        <f t="shared" si="73"/>
        <v/>
      </c>
      <c r="AB180" s="267" t="str">
        <f t="shared" si="74"/>
        <v/>
      </c>
      <c r="AC180" s="267" t="str">
        <f t="shared" si="75"/>
        <v/>
      </c>
      <c r="AD180" s="267" t="str">
        <f t="shared" si="76"/>
        <v/>
      </c>
      <c r="AE180" s="267" t="str">
        <f t="shared" si="77"/>
        <v/>
      </c>
      <c r="AF180" s="267">
        <f t="shared" si="89"/>
        <v>0</v>
      </c>
      <c r="AG180" s="267" t="str">
        <f t="shared" si="79"/>
        <v/>
      </c>
      <c r="AH180" s="267" t="str">
        <f>IFERROR(RANK(AG180,AG$12:AG$211,1)+COUNTIF(AG$12:AG180,AG180)-1,"")</f>
        <v/>
      </c>
    </row>
    <row r="181" spans="1:34" x14ac:dyDescent="0.25">
      <c r="A181" s="267">
        <v>170</v>
      </c>
      <c r="B181" s="291" t="str">
        <f t="shared" si="83"/>
        <v/>
      </c>
      <c r="C181" s="292" t="str">
        <f t="shared" si="84"/>
        <v/>
      </c>
      <c r="D181" s="293" t="str">
        <f t="shared" si="85"/>
        <v/>
      </c>
      <c r="E181" s="294" t="str">
        <f t="shared" si="82"/>
        <v/>
      </c>
      <c r="F181" s="295" t="str">
        <f t="shared" si="86"/>
        <v/>
      </c>
      <c r="G181" s="281" t="str">
        <f t="shared" si="87"/>
        <v/>
      </c>
      <c r="H181" s="296" t="str">
        <f t="shared" si="88"/>
        <v/>
      </c>
      <c r="I181" s="297"/>
      <c r="J181" s="298"/>
      <c r="L181" s="267" t="str">
        <f>TB!AG173</f>
        <v>Acorus Calamus</v>
      </c>
      <c r="M181" s="267" t="str">
        <f>TB!AD173</f>
        <v/>
      </c>
      <c r="N181" s="267">
        <f>TB!AT173</f>
        <v>0</v>
      </c>
      <c r="O181" s="267">
        <f>TB!AV173</f>
        <v>38</v>
      </c>
      <c r="P181" s="267">
        <f t="shared" si="68"/>
        <v>0</v>
      </c>
      <c r="Q181" s="267">
        <f t="shared" si="69"/>
        <v>0</v>
      </c>
      <c r="R181" s="267" t="str">
        <f>TB!AU173</f>
        <v>x6</v>
      </c>
      <c r="S181" s="267">
        <f>COUNTIF(N$12:N181,N181)</f>
        <v>170</v>
      </c>
      <c r="T181" s="267">
        <v>1</v>
      </c>
      <c r="U181" s="267">
        <f t="shared" si="70"/>
        <v>200</v>
      </c>
      <c r="V181" s="267" t="str">
        <f t="shared" si="81"/>
        <v>Acorus Calamus0</v>
      </c>
      <c r="W181" s="267" t="str">
        <f t="shared" si="80"/>
        <v/>
      </c>
      <c r="X181" s="267" t="str">
        <f>IF(W181&lt;&gt;"",1+COUNT(X$12:X180),"")</f>
        <v/>
      </c>
      <c r="Y181" s="267" t="str">
        <f t="shared" si="71"/>
        <v/>
      </c>
      <c r="Z181" s="267" t="str">
        <f t="shared" si="72"/>
        <v/>
      </c>
      <c r="AA181" s="267" t="str">
        <f t="shared" si="73"/>
        <v/>
      </c>
      <c r="AB181" s="267" t="str">
        <f t="shared" si="74"/>
        <v/>
      </c>
      <c r="AC181" s="267" t="str">
        <f t="shared" si="75"/>
        <v/>
      </c>
      <c r="AD181" s="267" t="str">
        <f t="shared" si="76"/>
        <v/>
      </c>
      <c r="AE181" s="267" t="str">
        <f t="shared" si="77"/>
        <v/>
      </c>
      <c r="AF181" s="267">
        <f t="shared" si="89"/>
        <v>0</v>
      </c>
      <c r="AG181" s="267" t="str">
        <f t="shared" si="79"/>
        <v/>
      </c>
      <c r="AH181" s="267" t="str">
        <f>IFERROR(RANK(AG181,AG$12:AG$211,1)+COUNTIF(AG$12:AG181,AG181)-1,"")</f>
        <v/>
      </c>
    </row>
    <row r="182" spans="1:34" x14ac:dyDescent="0.25">
      <c r="A182" s="267">
        <v>171</v>
      </c>
      <c r="B182" s="291" t="str">
        <f t="shared" si="83"/>
        <v/>
      </c>
      <c r="C182" s="292" t="str">
        <f t="shared" si="84"/>
        <v/>
      </c>
      <c r="D182" s="293" t="str">
        <f t="shared" si="85"/>
        <v/>
      </c>
      <c r="E182" s="294" t="str">
        <f t="shared" si="82"/>
        <v/>
      </c>
      <c r="F182" s="295" t="str">
        <f t="shared" si="86"/>
        <v/>
      </c>
      <c r="G182" s="281" t="str">
        <f t="shared" si="87"/>
        <v/>
      </c>
      <c r="H182" s="296" t="str">
        <f t="shared" si="88"/>
        <v/>
      </c>
      <c r="I182" s="297"/>
      <c r="J182" s="298"/>
      <c r="L182" s="267" t="str">
        <f>TB!AG174</f>
        <v>Acorus Calamus</v>
      </c>
      <c r="M182" s="267" t="str">
        <f>TB!AD174</f>
        <v/>
      </c>
      <c r="N182" s="267">
        <f>TB!AT174</f>
        <v>0</v>
      </c>
      <c r="O182" s="267">
        <f>TB!AV174</f>
        <v>38</v>
      </c>
      <c r="P182" s="267">
        <f t="shared" si="68"/>
        <v>0</v>
      </c>
      <c r="Q182" s="267">
        <f t="shared" si="69"/>
        <v>0</v>
      </c>
      <c r="R182" s="267" t="str">
        <f>TB!AU174</f>
        <v>x6</v>
      </c>
      <c r="S182" s="267">
        <f>COUNTIF(N$12:N182,N182)</f>
        <v>171</v>
      </c>
      <c r="T182" s="267">
        <v>1</v>
      </c>
      <c r="U182" s="267">
        <f t="shared" si="70"/>
        <v>200</v>
      </c>
      <c r="V182" s="267" t="str">
        <f t="shared" si="81"/>
        <v>Acorus Calamus0</v>
      </c>
      <c r="W182" s="267" t="str">
        <f t="shared" si="80"/>
        <v/>
      </c>
      <c r="X182" s="267" t="str">
        <f>IF(W182&lt;&gt;"",1+COUNT(X$12:X181),"")</f>
        <v/>
      </c>
      <c r="Y182" s="267" t="str">
        <f t="shared" si="71"/>
        <v/>
      </c>
      <c r="Z182" s="267" t="str">
        <f t="shared" si="72"/>
        <v/>
      </c>
      <c r="AA182" s="267" t="str">
        <f t="shared" si="73"/>
        <v/>
      </c>
      <c r="AB182" s="267" t="str">
        <f t="shared" si="74"/>
        <v/>
      </c>
      <c r="AC182" s="267" t="str">
        <f t="shared" si="75"/>
        <v/>
      </c>
      <c r="AD182" s="267" t="str">
        <f t="shared" si="76"/>
        <v/>
      </c>
      <c r="AE182" s="267" t="str">
        <f t="shared" si="77"/>
        <v/>
      </c>
      <c r="AF182" s="267">
        <f t="shared" si="89"/>
        <v>0</v>
      </c>
      <c r="AG182" s="267" t="str">
        <f t="shared" si="79"/>
        <v/>
      </c>
      <c r="AH182" s="267" t="str">
        <f>IFERROR(RANK(AG182,AG$12:AG$211,1)+COUNTIF(AG$12:AG182,AG182)-1,"")</f>
        <v/>
      </c>
    </row>
    <row r="183" spans="1:34" x14ac:dyDescent="0.25">
      <c r="A183" s="267">
        <v>172</v>
      </c>
      <c r="B183" s="291" t="str">
        <f t="shared" si="83"/>
        <v/>
      </c>
      <c r="C183" s="292" t="str">
        <f t="shared" si="84"/>
        <v/>
      </c>
      <c r="D183" s="293" t="str">
        <f t="shared" si="85"/>
        <v/>
      </c>
      <c r="E183" s="294" t="str">
        <f t="shared" si="82"/>
        <v/>
      </c>
      <c r="F183" s="295" t="str">
        <f t="shared" si="86"/>
        <v/>
      </c>
      <c r="G183" s="281" t="str">
        <f t="shared" si="87"/>
        <v/>
      </c>
      <c r="H183" s="296" t="str">
        <f t="shared" si="88"/>
        <v/>
      </c>
      <c r="I183" s="297"/>
      <c r="J183" s="298"/>
      <c r="L183" s="267" t="str">
        <f>TB!AG175</f>
        <v>Acorus Calamus</v>
      </c>
      <c r="M183" s="267" t="str">
        <f>TB!AD175</f>
        <v/>
      </c>
      <c r="N183" s="267">
        <f>TB!AT175</f>
        <v>0</v>
      </c>
      <c r="O183" s="267">
        <f>TB!AV175</f>
        <v>38</v>
      </c>
      <c r="P183" s="267">
        <f t="shared" si="68"/>
        <v>0</v>
      </c>
      <c r="Q183" s="267">
        <f t="shared" si="69"/>
        <v>0</v>
      </c>
      <c r="R183" s="267" t="str">
        <f>TB!AU175</f>
        <v>x6</v>
      </c>
      <c r="S183" s="267">
        <f>COUNTIF(N$12:N183,N183)</f>
        <v>172</v>
      </c>
      <c r="T183" s="267">
        <v>1</v>
      </c>
      <c r="U183" s="267">
        <f t="shared" si="70"/>
        <v>200</v>
      </c>
      <c r="V183" s="267" t="str">
        <f t="shared" si="81"/>
        <v>Acorus Calamus0</v>
      </c>
      <c r="W183" s="267" t="str">
        <f t="shared" si="80"/>
        <v/>
      </c>
      <c r="X183" s="267" t="str">
        <f>IF(W183&lt;&gt;"",1+COUNT(X$12:X182),"")</f>
        <v/>
      </c>
      <c r="Y183" s="267" t="str">
        <f t="shared" si="71"/>
        <v/>
      </c>
      <c r="Z183" s="267" t="str">
        <f t="shared" si="72"/>
        <v/>
      </c>
      <c r="AA183" s="267" t="str">
        <f t="shared" si="73"/>
        <v/>
      </c>
      <c r="AB183" s="267" t="str">
        <f t="shared" si="74"/>
        <v/>
      </c>
      <c r="AC183" s="267" t="str">
        <f t="shared" si="75"/>
        <v/>
      </c>
      <c r="AD183" s="267" t="str">
        <f t="shared" si="76"/>
        <v/>
      </c>
      <c r="AE183" s="267" t="str">
        <f t="shared" si="77"/>
        <v/>
      </c>
      <c r="AF183" s="267">
        <f t="shared" si="89"/>
        <v>0</v>
      </c>
      <c r="AG183" s="267" t="str">
        <f t="shared" si="79"/>
        <v/>
      </c>
      <c r="AH183" s="267" t="str">
        <f>IFERROR(RANK(AG183,AG$12:AG$211,1)+COUNTIF(AG$12:AG183,AG183)-1,"")</f>
        <v/>
      </c>
    </row>
    <row r="184" spans="1:34" x14ac:dyDescent="0.25">
      <c r="A184" s="267">
        <v>173</v>
      </c>
      <c r="B184" s="291" t="str">
        <f t="shared" si="83"/>
        <v/>
      </c>
      <c r="C184" s="292" t="str">
        <f t="shared" si="84"/>
        <v/>
      </c>
      <c r="D184" s="293" t="str">
        <f t="shared" si="85"/>
        <v/>
      </c>
      <c r="E184" s="294" t="str">
        <f t="shared" si="82"/>
        <v/>
      </c>
      <c r="F184" s="295" t="str">
        <f t="shared" si="86"/>
        <v/>
      </c>
      <c r="G184" s="281" t="str">
        <f t="shared" si="87"/>
        <v/>
      </c>
      <c r="H184" s="296" t="str">
        <f t="shared" si="88"/>
        <v/>
      </c>
      <c r="I184" s="297"/>
      <c r="J184" s="298"/>
      <c r="L184" s="267" t="str">
        <f>TB!AG176</f>
        <v>Acorus Calamus</v>
      </c>
      <c r="M184" s="267" t="str">
        <f>TB!AD176</f>
        <v/>
      </c>
      <c r="N184" s="267">
        <f>TB!AT176</f>
        <v>0</v>
      </c>
      <c r="O184" s="267">
        <f>TB!AV176</f>
        <v>38</v>
      </c>
      <c r="P184" s="267">
        <f t="shared" si="68"/>
        <v>0</v>
      </c>
      <c r="Q184" s="267">
        <f t="shared" si="69"/>
        <v>0</v>
      </c>
      <c r="R184" s="267" t="str">
        <f>TB!AU176</f>
        <v>x6</v>
      </c>
      <c r="S184" s="267">
        <f>COUNTIF(N$12:N184,N184)</f>
        <v>173</v>
      </c>
      <c r="T184" s="267">
        <v>1</v>
      </c>
      <c r="U184" s="267">
        <f t="shared" si="70"/>
        <v>200</v>
      </c>
      <c r="V184" s="267" t="str">
        <f t="shared" si="81"/>
        <v>Acorus Calamus0</v>
      </c>
      <c r="W184" s="267" t="str">
        <f t="shared" si="80"/>
        <v/>
      </c>
      <c r="X184" s="267" t="str">
        <f>IF(W184&lt;&gt;"",1+COUNT(X$12:X183),"")</f>
        <v/>
      </c>
      <c r="Y184" s="267" t="str">
        <f t="shared" si="71"/>
        <v/>
      </c>
      <c r="Z184" s="267" t="str">
        <f t="shared" si="72"/>
        <v/>
      </c>
      <c r="AA184" s="267" t="str">
        <f t="shared" si="73"/>
        <v/>
      </c>
      <c r="AB184" s="267" t="str">
        <f t="shared" si="74"/>
        <v/>
      </c>
      <c r="AC184" s="267" t="str">
        <f t="shared" si="75"/>
        <v/>
      </c>
      <c r="AD184" s="267" t="str">
        <f t="shared" si="76"/>
        <v/>
      </c>
      <c r="AE184" s="267" t="str">
        <f t="shared" si="77"/>
        <v/>
      </c>
      <c r="AF184" s="267">
        <f t="shared" si="89"/>
        <v>0</v>
      </c>
      <c r="AG184" s="267" t="str">
        <f t="shared" si="79"/>
        <v/>
      </c>
      <c r="AH184" s="267" t="str">
        <f>IFERROR(RANK(AG184,AG$12:AG$211,1)+COUNTIF(AG$12:AG184,AG184)-1,"")</f>
        <v/>
      </c>
    </row>
    <row r="185" spans="1:34" x14ac:dyDescent="0.25">
      <c r="A185" s="267">
        <v>174</v>
      </c>
      <c r="B185" s="291" t="str">
        <f t="shared" si="83"/>
        <v/>
      </c>
      <c r="C185" s="292" t="str">
        <f t="shared" si="84"/>
        <v/>
      </c>
      <c r="D185" s="293" t="str">
        <f t="shared" si="85"/>
        <v/>
      </c>
      <c r="E185" s="294" t="str">
        <f t="shared" si="82"/>
        <v/>
      </c>
      <c r="F185" s="295" t="str">
        <f t="shared" si="86"/>
        <v/>
      </c>
      <c r="G185" s="281" t="str">
        <f t="shared" si="87"/>
        <v/>
      </c>
      <c r="H185" s="296" t="str">
        <f t="shared" si="88"/>
        <v/>
      </c>
      <c r="I185" s="297"/>
      <c r="J185" s="298"/>
      <c r="L185" s="267" t="str">
        <f>TB!AG177</f>
        <v>Acorus Calamus</v>
      </c>
      <c r="M185" s="267" t="str">
        <f>TB!AD177</f>
        <v/>
      </c>
      <c r="N185" s="267">
        <f>TB!AT177</f>
        <v>0</v>
      </c>
      <c r="O185" s="267">
        <f>TB!AV177</f>
        <v>38</v>
      </c>
      <c r="P185" s="267">
        <f t="shared" si="68"/>
        <v>0</v>
      </c>
      <c r="Q185" s="267">
        <f t="shared" si="69"/>
        <v>0</v>
      </c>
      <c r="R185" s="267" t="str">
        <f>TB!AU177</f>
        <v>x6</v>
      </c>
      <c r="S185" s="267">
        <f>COUNTIF(N$12:N185,N185)</f>
        <v>174</v>
      </c>
      <c r="T185" s="267">
        <v>1</v>
      </c>
      <c r="U185" s="267">
        <f t="shared" si="70"/>
        <v>200</v>
      </c>
      <c r="V185" s="267" t="str">
        <f t="shared" si="81"/>
        <v>Acorus Calamus0</v>
      </c>
      <c r="W185" s="267" t="str">
        <f t="shared" si="80"/>
        <v/>
      </c>
      <c r="X185" s="267" t="str">
        <f>IF(W185&lt;&gt;"",1+COUNT(X$12:X184),"")</f>
        <v/>
      </c>
      <c r="Y185" s="267" t="str">
        <f t="shared" si="71"/>
        <v/>
      </c>
      <c r="Z185" s="267" t="str">
        <f t="shared" si="72"/>
        <v/>
      </c>
      <c r="AA185" s="267" t="str">
        <f t="shared" si="73"/>
        <v/>
      </c>
      <c r="AB185" s="267" t="str">
        <f t="shared" si="74"/>
        <v/>
      </c>
      <c r="AC185" s="267" t="str">
        <f t="shared" si="75"/>
        <v/>
      </c>
      <c r="AD185" s="267" t="str">
        <f t="shared" si="76"/>
        <v/>
      </c>
      <c r="AE185" s="267" t="str">
        <f t="shared" si="77"/>
        <v/>
      </c>
      <c r="AF185" s="267">
        <f t="shared" si="89"/>
        <v>0</v>
      </c>
      <c r="AG185" s="267" t="str">
        <f t="shared" si="79"/>
        <v/>
      </c>
      <c r="AH185" s="267" t="str">
        <f>IFERROR(RANK(AG185,AG$12:AG$211,1)+COUNTIF(AG$12:AG185,AG185)-1,"")</f>
        <v/>
      </c>
    </row>
    <row r="186" spans="1:34" x14ac:dyDescent="0.25">
      <c r="A186" s="267">
        <v>175</v>
      </c>
      <c r="B186" s="291" t="str">
        <f t="shared" si="83"/>
        <v/>
      </c>
      <c r="C186" s="292" t="str">
        <f t="shared" si="84"/>
        <v/>
      </c>
      <c r="D186" s="293" t="str">
        <f t="shared" si="85"/>
        <v/>
      </c>
      <c r="E186" s="294" t="str">
        <f t="shared" si="82"/>
        <v/>
      </c>
      <c r="F186" s="295" t="str">
        <f t="shared" si="86"/>
        <v/>
      </c>
      <c r="G186" s="281" t="str">
        <f t="shared" si="87"/>
        <v/>
      </c>
      <c r="H186" s="296" t="str">
        <f t="shared" si="88"/>
        <v/>
      </c>
      <c r="I186" s="297"/>
      <c r="J186" s="298"/>
      <c r="L186" s="267" t="str">
        <f>TB!AG178</f>
        <v>Acorus Calamus</v>
      </c>
      <c r="M186" s="267" t="str">
        <f>TB!AD178</f>
        <v/>
      </c>
      <c r="N186" s="267">
        <f>TB!AT178</f>
        <v>0</v>
      </c>
      <c r="O186" s="267">
        <f>TB!AV178</f>
        <v>38</v>
      </c>
      <c r="P186" s="267">
        <f t="shared" si="68"/>
        <v>0</v>
      </c>
      <c r="Q186" s="267">
        <f t="shared" si="69"/>
        <v>0</v>
      </c>
      <c r="R186" s="267" t="str">
        <f>TB!AU178</f>
        <v>x6</v>
      </c>
      <c r="S186" s="267">
        <f>COUNTIF(N$12:N186,N186)</f>
        <v>175</v>
      </c>
      <c r="T186" s="267">
        <v>1</v>
      </c>
      <c r="U186" s="267">
        <f t="shared" si="70"/>
        <v>200</v>
      </c>
      <c r="V186" s="267" t="str">
        <f t="shared" si="81"/>
        <v>Acorus Calamus0</v>
      </c>
      <c r="W186" s="267" t="str">
        <f t="shared" si="80"/>
        <v/>
      </c>
      <c r="X186" s="267" t="str">
        <f>IF(W186&lt;&gt;"",1+COUNT(X$12:X185),"")</f>
        <v/>
      </c>
      <c r="Y186" s="267" t="str">
        <f t="shared" si="71"/>
        <v/>
      </c>
      <c r="Z186" s="267" t="str">
        <f t="shared" si="72"/>
        <v/>
      </c>
      <c r="AA186" s="267" t="str">
        <f t="shared" si="73"/>
        <v/>
      </c>
      <c r="AB186" s="267" t="str">
        <f t="shared" si="74"/>
        <v/>
      </c>
      <c r="AC186" s="267" t="str">
        <f t="shared" si="75"/>
        <v/>
      </c>
      <c r="AD186" s="267" t="str">
        <f t="shared" si="76"/>
        <v/>
      </c>
      <c r="AE186" s="267" t="str">
        <f t="shared" si="77"/>
        <v/>
      </c>
      <c r="AF186" s="267">
        <f t="shared" si="89"/>
        <v>0</v>
      </c>
      <c r="AG186" s="267" t="str">
        <f t="shared" si="79"/>
        <v/>
      </c>
      <c r="AH186" s="267" t="str">
        <f>IFERROR(RANK(AG186,AG$12:AG$211,1)+COUNTIF(AG$12:AG186,AG186)-1,"")</f>
        <v/>
      </c>
    </row>
    <row r="187" spans="1:34" x14ac:dyDescent="0.25">
      <c r="A187" s="267">
        <v>176</v>
      </c>
      <c r="B187" s="291" t="str">
        <f t="shared" si="83"/>
        <v/>
      </c>
      <c r="C187" s="292" t="str">
        <f t="shared" si="84"/>
        <v/>
      </c>
      <c r="D187" s="293" t="str">
        <f t="shared" si="85"/>
        <v/>
      </c>
      <c r="E187" s="294" t="str">
        <f t="shared" si="82"/>
        <v/>
      </c>
      <c r="F187" s="295" t="str">
        <f t="shared" si="86"/>
        <v/>
      </c>
      <c r="G187" s="281" t="str">
        <f t="shared" si="87"/>
        <v/>
      </c>
      <c r="H187" s="296" t="str">
        <f t="shared" si="88"/>
        <v/>
      </c>
      <c r="I187" s="297"/>
      <c r="J187" s="298"/>
      <c r="L187" s="267" t="str">
        <f>TB!AG179</f>
        <v>Acorus Calamus</v>
      </c>
      <c r="M187" s="267" t="str">
        <f>TB!AD179</f>
        <v/>
      </c>
      <c r="N187" s="267">
        <f>TB!AT179</f>
        <v>0</v>
      </c>
      <c r="O187" s="267">
        <f>TB!AV179</f>
        <v>38</v>
      </c>
      <c r="P187" s="267">
        <f t="shared" si="68"/>
        <v>0</v>
      </c>
      <c r="Q187" s="267">
        <f t="shared" si="69"/>
        <v>0</v>
      </c>
      <c r="R187" s="267" t="str">
        <f>TB!AU179</f>
        <v>x6</v>
      </c>
      <c r="S187" s="267">
        <f>COUNTIF(N$12:N187,N187)</f>
        <v>176</v>
      </c>
      <c r="T187" s="267">
        <v>1</v>
      </c>
      <c r="U187" s="267">
        <f t="shared" si="70"/>
        <v>200</v>
      </c>
      <c r="V187" s="267" t="str">
        <f t="shared" si="81"/>
        <v>Acorus Calamus0</v>
      </c>
      <c r="W187" s="267" t="str">
        <f t="shared" si="80"/>
        <v/>
      </c>
      <c r="X187" s="267" t="str">
        <f>IF(W187&lt;&gt;"",1+COUNT(X$12:X186),"")</f>
        <v/>
      </c>
      <c r="Y187" s="267" t="str">
        <f t="shared" si="71"/>
        <v/>
      </c>
      <c r="Z187" s="267" t="str">
        <f t="shared" si="72"/>
        <v/>
      </c>
      <c r="AA187" s="267" t="str">
        <f t="shared" si="73"/>
        <v/>
      </c>
      <c r="AB187" s="267" t="str">
        <f t="shared" si="74"/>
        <v/>
      </c>
      <c r="AC187" s="267" t="str">
        <f t="shared" si="75"/>
        <v/>
      </c>
      <c r="AD187" s="267" t="str">
        <f t="shared" si="76"/>
        <v/>
      </c>
      <c r="AE187" s="267" t="str">
        <f t="shared" si="77"/>
        <v/>
      </c>
      <c r="AF187" s="267">
        <f t="shared" si="89"/>
        <v>0</v>
      </c>
      <c r="AG187" s="267" t="str">
        <f t="shared" si="79"/>
        <v/>
      </c>
      <c r="AH187" s="267" t="str">
        <f>IFERROR(RANK(AG187,AG$12:AG$211,1)+COUNTIF(AG$12:AG187,AG187)-1,"")</f>
        <v/>
      </c>
    </row>
    <row r="188" spans="1:34" x14ac:dyDescent="0.25">
      <c r="A188" s="267">
        <v>177</v>
      </c>
      <c r="B188" s="291" t="str">
        <f t="shared" si="83"/>
        <v/>
      </c>
      <c r="C188" s="292" t="str">
        <f t="shared" si="84"/>
        <v/>
      </c>
      <c r="D188" s="293" t="str">
        <f t="shared" si="85"/>
        <v/>
      </c>
      <c r="E188" s="294" t="str">
        <f t="shared" si="82"/>
        <v/>
      </c>
      <c r="F188" s="295" t="str">
        <f t="shared" si="86"/>
        <v/>
      </c>
      <c r="G188" s="281" t="str">
        <f t="shared" si="87"/>
        <v/>
      </c>
      <c r="H188" s="296" t="str">
        <f t="shared" si="88"/>
        <v/>
      </c>
      <c r="I188" s="297"/>
      <c r="J188" s="298"/>
      <c r="L188" s="267" t="str">
        <f>TB!AG180</f>
        <v>Acorus Calamus</v>
      </c>
      <c r="M188" s="267" t="str">
        <f>TB!AD180</f>
        <v/>
      </c>
      <c r="N188" s="267">
        <f>TB!AT180</f>
        <v>0</v>
      </c>
      <c r="O188" s="267">
        <f>TB!AV180</f>
        <v>38</v>
      </c>
      <c r="P188" s="267">
        <f t="shared" si="68"/>
        <v>0</v>
      </c>
      <c r="Q188" s="267">
        <f t="shared" si="69"/>
        <v>0</v>
      </c>
      <c r="R188" s="267" t="str">
        <f>TB!AU180</f>
        <v>x6</v>
      </c>
      <c r="S188" s="267">
        <f>COUNTIF(N$12:N188,N188)</f>
        <v>177</v>
      </c>
      <c r="T188" s="267">
        <v>1</v>
      </c>
      <c r="U188" s="267">
        <f t="shared" si="70"/>
        <v>200</v>
      </c>
      <c r="V188" s="267" t="str">
        <f t="shared" si="81"/>
        <v>Acorus Calamus0</v>
      </c>
      <c r="W188" s="267" t="str">
        <f t="shared" si="80"/>
        <v/>
      </c>
      <c r="X188" s="267" t="str">
        <f>IF(W188&lt;&gt;"",1+COUNT(X$12:X187),"")</f>
        <v/>
      </c>
      <c r="Y188" s="267" t="str">
        <f t="shared" si="71"/>
        <v/>
      </c>
      <c r="Z188" s="267" t="str">
        <f t="shared" si="72"/>
        <v/>
      </c>
      <c r="AA188" s="267" t="str">
        <f t="shared" si="73"/>
        <v/>
      </c>
      <c r="AB188" s="267" t="str">
        <f t="shared" si="74"/>
        <v/>
      </c>
      <c r="AC188" s="267" t="str">
        <f t="shared" si="75"/>
        <v/>
      </c>
      <c r="AD188" s="267" t="str">
        <f t="shared" si="76"/>
        <v/>
      </c>
      <c r="AE188" s="267" t="str">
        <f t="shared" si="77"/>
        <v/>
      </c>
      <c r="AF188" s="267">
        <f t="shared" si="89"/>
        <v>0</v>
      </c>
      <c r="AG188" s="267" t="str">
        <f t="shared" si="79"/>
        <v/>
      </c>
      <c r="AH188" s="267" t="str">
        <f>IFERROR(RANK(AG188,AG$12:AG$211,1)+COUNTIF(AG$12:AG188,AG188)-1,"")</f>
        <v/>
      </c>
    </row>
    <row r="189" spans="1:34" x14ac:dyDescent="0.25">
      <c r="A189" s="267">
        <v>178</v>
      </c>
      <c r="B189" s="291" t="str">
        <f t="shared" si="83"/>
        <v/>
      </c>
      <c r="C189" s="292" t="str">
        <f t="shared" si="84"/>
        <v/>
      </c>
      <c r="D189" s="293" t="str">
        <f t="shared" si="85"/>
        <v/>
      </c>
      <c r="E189" s="294" t="str">
        <f t="shared" si="82"/>
        <v/>
      </c>
      <c r="F189" s="295" t="str">
        <f t="shared" si="86"/>
        <v/>
      </c>
      <c r="G189" s="281" t="str">
        <f t="shared" si="87"/>
        <v/>
      </c>
      <c r="H189" s="296" t="str">
        <f t="shared" si="88"/>
        <v/>
      </c>
      <c r="I189" s="297"/>
      <c r="J189" s="298"/>
      <c r="L189" s="267" t="str">
        <f>TB!AG181</f>
        <v>Acorus Calamus</v>
      </c>
      <c r="M189" s="267" t="str">
        <f>TB!AD181</f>
        <v/>
      </c>
      <c r="N189" s="267">
        <f>TB!AT181</f>
        <v>0</v>
      </c>
      <c r="O189" s="267">
        <f>TB!AV181</f>
        <v>38</v>
      </c>
      <c r="P189" s="267">
        <f t="shared" si="68"/>
        <v>0</v>
      </c>
      <c r="Q189" s="267">
        <f t="shared" si="69"/>
        <v>0</v>
      </c>
      <c r="R189" s="267" t="str">
        <f>TB!AU181</f>
        <v>x6</v>
      </c>
      <c r="S189" s="267">
        <f>COUNTIF(N$12:N189,N189)</f>
        <v>178</v>
      </c>
      <c r="T189" s="267">
        <v>1</v>
      </c>
      <c r="U189" s="267">
        <f t="shared" si="70"/>
        <v>200</v>
      </c>
      <c r="V189" s="267" t="str">
        <f t="shared" si="81"/>
        <v>Acorus Calamus0</v>
      </c>
      <c r="W189" s="267" t="str">
        <f t="shared" si="80"/>
        <v/>
      </c>
      <c r="X189" s="267" t="str">
        <f>IF(W189&lt;&gt;"",1+COUNT(X$12:X188),"")</f>
        <v/>
      </c>
      <c r="Y189" s="267" t="str">
        <f t="shared" si="71"/>
        <v/>
      </c>
      <c r="Z189" s="267" t="str">
        <f t="shared" si="72"/>
        <v/>
      </c>
      <c r="AA189" s="267" t="str">
        <f t="shared" si="73"/>
        <v/>
      </c>
      <c r="AB189" s="267" t="str">
        <f t="shared" si="74"/>
        <v/>
      </c>
      <c r="AC189" s="267" t="str">
        <f t="shared" si="75"/>
        <v/>
      </c>
      <c r="AD189" s="267" t="str">
        <f t="shared" si="76"/>
        <v/>
      </c>
      <c r="AE189" s="267" t="str">
        <f t="shared" si="77"/>
        <v/>
      </c>
      <c r="AF189" s="267">
        <f t="shared" si="89"/>
        <v>0</v>
      </c>
      <c r="AG189" s="267" t="str">
        <f t="shared" si="79"/>
        <v/>
      </c>
      <c r="AH189" s="267" t="str">
        <f>IFERROR(RANK(AG189,AG$12:AG$211,1)+COUNTIF(AG$12:AG189,AG189)-1,"")</f>
        <v/>
      </c>
    </row>
    <row r="190" spans="1:34" x14ac:dyDescent="0.25">
      <c r="A190" s="267">
        <v>179</v>
      </c>
      <c r="B190" s="291" t="str">
        <f t="shared" si="83"/>
        <v/>
      </c>
      <c r="C190" s="292" t="str">
        <f t="shared" si="84"/>
        <v/>
      </c>
      <c r="D190" s="293" t="str">
        <f t="shared" si="85"/>
        <v/>
      </c>
      <c r="E190" s="294" t="str">
        <f t="shared" si="82"/>
        <v/>
      </c>
      <c r="F190" s="295" t="str">
        <f t="shared" si="86"/>
        <v/>
      </c>
      <c r="G190" s="281" t="str">
        <f t="shared" si="87"/>
        <v/>
      </c>
      <c r="H190" s="296" t="str">
        <f t="shared" si="88"/>
        <v/>
      </c>
      <c r="I190" s="297"/>
      <c r="J190" s="298"/>
      <c r="L190" s="267" t="str">
        <f>TB!AG182</f>
        <v>Acorus Calamus</v>
      </c>
      <c r="M190" s="267" t="str">
        <f>TB!AD182</f>
        <v/>
      </c>
      <c r="N190" s="267">
        <f>TB!AT182</f>
        <v>0</v>
      </c>
      <c r="O190" s="267">
        <f>TB!AV182</f>
        <v>38</v>
      </c>
      <c r="P190" s="267">
        <f t="shared" si="68"/>
        <v>0</v>
      </c>
      <c r="Q190" s="267">
        <f t="shared" si="69"/>
        <v>0</v>
      </c>
      <c r="R190" s="267" t="str">
        <f>TB!AU182</f>
        <v>x6</v>
      </c>
      <c r="S190" s="267">
        <f>COUNTIF(N$12:N190,N190)</f>
        <v>179</v>
      </c>
      <c r="T190" s="267">
        <v>1</v>
      </c>
      <c r="U190" s="267">
        <f t="shared" si="70"/>
        <v>200</v>
      </c>
      <c r="V190" s="267" t="str">
        <f t="shared" si="81"/>
        <v>Acorus Calamus0</v>
      </c>
      <c r="W190" s="267" t="str">
        <f t="shared" si="80"/>
        <v/>
      </c>
      <c r="X190" s="267" t="str">
        <f>IF(W190&lt;&gt;"",1+COUNT(X$12:X189),"")</f>
        <v/>
      </c>
      <c r="Y190" s="267" t="str">
        <f t="shared" si="71"/>
        <v/>
      </c>
      <c r="Z190" s="267" t="str">
        <f t="shared" si="72"/>
        <v/>
      </c>
      <c r="AA190" s="267" t="str">
        <f t="shared" si="73"/>
        <v/>
      </c>
      <c r="AB190" s="267" t="str">
        <f t="shared" si="74"/>
        <v/>
      </c>
      <c r="AC190" s="267" t="str">
        <f t="shared" si="75"/>
        <v/>
      </c>
      <c r="AD190" s="267" t="str">
        <f t="shared" si="76"/>
        <v/>
      </c>
      <c r="AE190" s="267" t="str">
        <f t="shared" si="77"/>
        <v/>
      </c>
      <c r="AF190" s="267">
        <f t="shared" si="89"/>
        <v>0</v>
      </c>
      <c r="AG190" s="267" t="str">
        <f t="shared" si="79"/>
        <v/>
      </c>
      <c r="AH190" s="267" t="str">
        <f>IFERROR(RANK(AG190,AG$12:AG$211,1)+COUNTIF(AG$12:AG190,AG190)-1,"")</f>
        <v/>
      </c>
    </row>
    <row r="191" spans="1:34" x14ac:dyDescent="0.25">
      <c r="A191" s="267">
        <v>180</v>
      </c>
      <c r="B191" s="291" t="str">
        <f t="shared" si="83"/>
        <v/>
      </c>
      <c r="C191" s="292" t="str">
        <f t="shared" si="84"/>
        <v/>
      </c>
      <c r="D191" s="293" t="str">
        <f t="shared" si="85"/>
        <v/>
      </c>
      <c r="E191" s="294" t="str">
        <f t="shared" ref="E191:E211" si="90">_xlfn.SINGLE(_xlfn.XLOOKUP(A191,AH$12:AH$211,AA$12:AA$211,""))</f>
        <v/>
      </c>
      <c r="F191" s="295" t="str">
        <f t="shared" si="86"/>
        <v/>
      </c>
      <c r="G191" s="281" t="str">
        <f t="shared" si="87"/>
        <v/>
      </c>
      <c r="H191" s="296" t="str">
        <f t="shared" si="88"/>
        <v/>
      </c>
      <c r="I191" s="297"/>
      <c r="J191" s="298"/>
      <c r="L191" s="267" t="str">
        <f>TB!AG183</f>
        <v>Acorus Calamus</v>
      </c>
      <c r="M191" s="267" t="str">
        <f>TB!AD183</f>
        <v/>
      </c>
      <c r="N191" s="267">
        <f>TB!AT183</f>
        <v>0</v>
      </c>
      <c r="O191" s="267">
        <f>TB!AV183</f>
        <v>38</v>
      </c>
      <c r="P191" s="267">
        <f t="shared" si="68"/>
        <v>0</v>
      </c>
      <c r="Q191" s="267">
        <f t="shared" si="69"/>
        <v>0</v>
      </c>
      <c r="R191" s="267" t="str">
        <f>TB!AU183</f>
        <v>x6</v>
      </c>
      <c r="S191" s="267">
        <f>COUNTIF(N$12:N191,N191)</f>
        <v>180</v>
      </c>
      <c r="T191" s="267">
        <v>1</v>
      </c>
      <c r="U191" s="267">
        <f t="shared" si="70"/>
        <v>200</v>
      </c>
      <c r="V191" s="267" t="str">
        <f t="shared" si="81"/>
        <v>Acorus Calamus0</v>
      </c>
      <c r="W191" s="267" t="str">
        <f t="shared" si="80"/>
        <v/>
      </c>
      <c r="X191" s="267" t="str">
        <f>IF(W191&lt;&gt;"",1+COUNT(X$12:X190),"")</f>
        <v/>
      </c>
      <c r="Y191" s="267" t="str">
        <f t="shared" si="71"/>
        <v/>
      </c>
      <c r="Z191" s="267" t="str">
        <f t="shared" si="72"/>
        <v/>
      </c>
      <c r="AA191" s="267" t="str">
        <f t="shared" si="73"/>
        <v/>
      </c>
      <c r="AB191" s="267" t="str">
        <f t="shared" si="74"/>
        <v/>
      </c>
      <c r="AC191" s="267" t="str">
        <f t="shared" si="75"/>
        <v/>
      </c>
      <c r="AD191" s="267" t="str">
        <f t="shared" si="76"/>
        <v/>
      </c>
      <c r="AE191" s="267" t="str">
        <f t="shared" si="77"/>
        <v/>
      </c>
      <c r="AF191" s="267">
        <f t="shared" si="89"/>
        <v>0</v>
      </c>
      <c r="AG191" s="267" t="str">
        <f t="shared" si="79"/>
        <v/>
      </c>
      <c r="AH191" s="267" t="str">
        <f>IFERROR(RANK(AG191,AG$12:AG$211,1)+COUNTIF(AG$12:AG191,AG191)-1,"")</f>
        <v/>
      </c>
    </row>
    <row r="192" spans="1:34" x14ac:dyDescent="0.25">
      <c r="A192" s="267">
        <v>181</v>
      </c>
      <c r="B192" s="291" t="str">
        <f t="shared" si="83"/>
        <v/>
      </c>
      <c r="C192" s="292" t="str">
        <f t="shared" si="84"/>
        <v/>
      </c>
      <c r="D192" s="293" t="str">
        <f t="shared" si="85"/>
        <v/>
      </c>
      <c r="E192" s="294" t="str">
        <f t="shared" si="90"/>
        <v/>
      </c>
      <c r="F192" s="295" t="str">
        <f t="shared" si="86"/>
        <v/>
      </c>
      <c r="G192" s="281" t="str">
        <f t="shared" si="87"/>
        <v/>
      </c>
      <c r="H192" s="296" t="str">
        <f t="shared" si="88"/>
        <v/>
      </c>
      <c r="I192" s="297"/>
      <c r="J192" s="298"/>
      <c r="L192" s="267" t="str">
        <f>TB!AG184</f>
        <v>Acorus Calamus</v>
      </c>
      <c r="M192" s="267" t="str">
        <f>TB!AD184</f>
        <v/>
      </c>
      <c r="N192" s="267">
        <f>TB!AT184</f>
        <v>0</v>
      </c>
      <c r="O192" s="267">
        <f>TB!AV184</f>
        <v>38</v>
      </c>
      <c r="P192" s="267">
        <f t="shared" si="68"/>
        <v>0</v>
      </c>
      <c r="Q192" s="267">
        <f t="shared" si="69"/>
        <v>0</v>
      </c>
      <c r="R192" s="267" t="str">
        <f>TB!AU184</f>
        <v>x6</v>
      </c>
      <c r="S192" s="267">
        <f>COUNTIF(N$12:N192,N192)</f>
        <v>181</v>
      </c>
      <c r="T192" s="267">
        <v>1</v>
      </c>
      <c r="U192" s="267">
        <f t="shared" si="70"/>
        <v>200</v>
      </c>
      <c r="V192" s="267" t="str">
        <f t="shared" si="81"/>
        <v>Acorus Calamus0</v>
      </c>
      <c r="W192" s="267" t="str">
        <f t="shared" si="80"/>
        <v/>
      </c>
      <c r="X192" s="267" t="str">
        <f>IF(W192&lt;&gt;"",1+COUNT(X$12:X191),"")</f>
        <v/>
      </c>
      <c r="Y192" s="267" t="str">
        <f t="shared" si="71"/>
        <v/>
      </c>
      <c r="Z192" s="267" t="str">
        <f t="shared" si="72"/>
        <v/>
      </c>
      <c r="AA192" s="267" t="str">
        <f t="shared" si="73"/>
        <v/>
      </c>
      <c r="AB192" s="267" t="str">
        <f t="shared" si="74"/>
        <v/>
      </c>
      <c r="AC192" s="267" t="str">
        <f t="shared" si="75"/>
        <v/>
      </c>
      <c r="AD192" s="267" t="str">
        <f t="shared" si="76"/>
        <v/>
      </c>
      <c r="AE192" s="267" t="str">
        <f t="shared" si="77"/>
        <v/>
      </c>
      <c r="AF192" s="267">
        <f t="shared" si="89"/>
        <v>0</v>
      </c>
      <c r="AG192" s="267" t="str">
        <f t="shared" si="79"/>
        <v/>
      </c>
      <c r="AH192" s="267" t="str">
        <f>IFERROR(RANK(AG192,AG$12:AG$211,1)+COUNTIF(AG$12:AG192,AG192)-1,"")</f>
        <v/>
      </c>
    </row>
    <row r="193" spans="1:34" x14ac:dyDescent="0.25">
      <c r="A193" s="267">
        <v>182</v>
      </c>
      <c r="B193" s="291" t="str">
        <f t="shared" si="83"/>
        <v/>
      </c>
      <c r="C193" s="292" t="str">
        <f t="shared" si="84"/>
        <v/>
      </c>
      <c r="D193" s="293" t="str">
        <f t="shared" si="85"/>
        <v/>
      </c>
      <c r="E193" s="294" t="str">
        <f t="shared" si="90"/>
        <v/>
      </c>
      <c r="F193" s="295" t="str">
        <f t="shared" si="86"/>
        <v/>
      </c>
      <c r="G193" s="281" t="str">
        <f t="shared" si="87"/>
        <v/>
      </c>
      <c r="H193" s="296" t="str">
        <f t="shared" si="88"/>
        <v/>
      </c>
      <c r="I193" s="297"/>
      <c r="J193" s="298"/>
      <c r="L193" s="267" t="str">
        <f>TB!AG185</f>
        <v>Acorus Calamus</v>
      </c>
      <c r="M193" s="267" t="str">
        <f>TB!AD185</f>
        <v/>
      </c>
      <c r="N193" s="267">
        <f>TB!AT185</f>
        <v>0</v>
      </c>
      <c r="O193" s="267">
        <f>TB!AV185</f>
        <v>38</v>
      </c>
      <c r="P193" s="267">
        <f t="shared" si="68"/>
        <v>0</v>
      </c>
      <c r="Q193" s="267">
        <f t="shared" si="69"/>
        <v>0</v>
      </c>
      <c r="R193" s="267" t="str">
        <f>TB!AU185</f>
        <v>x6</v>
      </c>
      <c r="S193" s="267">
        <f>COUNTIF(N$12:N193,N193)</f>
        <v>182</v>
      </c>
      <c r="T193" s="267">
        <v>1</v>
      </c>
      <c r="U193" s="267">
        <f t="shared" si="70"/>
        <v>200</v>
      </c>
      <c r="V193" s="267" t="str">
        <f t="shared" si="81"/>
        <v>Acorus Calamus0</v>
      </c>
      <c r="W193" s="267" t="str">
        <f t="shared" si="80"/>
        <v/>
      </c>
      <c r="X193" s="267" t="str">
        <f>IF(W193&lt;&gt;"",1+COUNT(X$12:X192),"")</f>
        <v/>
      </c>
      <c r="Y193" s="267" t="str">
        <f t="shared" si="71"/>
        <v/>
      </c>
      <c r="Z193" s="267" t="str">
        <f t="shared" si="72"/>
        <v/>
      </c>
      <c r="AA193" s="267" t="str">
        <f t="shared" si="73"/>
        <v/>
      </c>
      <c r="AB193" s="267" t="str">
        <f t="shared" si="74"/>
        <v/>
      </c>
      <c r="AC193" s="267" t="str">
        <f t="shared" si="75"/>
        <v/>
      </c>
      <c r="AD193" s="267" t="str">
        <f t="shared" si="76"/>
        <v/>
      </c>
      <c r="AE193" s="267" t="str">
        <f t="shared" si="77"/>
        <v/>
      </c>
      <c r="AF193" s="267">
        <f t="shared" si="89"/>
        <v>0</v>
      </c>
      <c r="AG193" s="267" t="str">
        <f t="shared" si="79"/>
        <v/>
      </c>
      <c r="AH193" s="267" t="str">
        <f>IFERROR(RANK(AG193,AG$12:AG$211,1)+COUNTIF(AG$12:AG193,AG193)-1,"")</f>
        <v/>
      </c>
    </row>
    <row r="194" spans="1:34" x14ac:dyDescent="0.25">
      <c r="A194" s="267">
        <v>183</v>
      </c>
      <c r="B194" s="291" t="str">
        <f t="shared" si="83"/>
        <v/>
      </c>
      <c r="C194" s="292" t="str">
        <f t="shared" si="84"/>
        <v/>
      </c>
      <c r="D194" s="293" t="str">
        <f t="shared" si="85"/>
        <v/>
      </c>
      <c r="E194" s="294" t="str">
        <f t="shared" si="90"/>
        <v/>
      </c>
      <c r="F194" s="295" t="str">
        <f t="shared" si="86"/>
        <v/>
      </c>
      <c r="G194" s="281" t="str">
        <f t="shared" si="87"/>
        <v/>
      </c>
      <c r="H194" s="296" t="str">
        <f t="shared" si="88"/>
        <v/>
      </c>
      <c r="I194" s="297"/>
      <c r="J194" s="298"/>
      <c r="L194" s="267" t="str">
        <f>TB!AG186</f>
        <v>Acorus Calamus</v>
      </c>
      <c r="M194" s="267" t="str">
        <f>TB!AD186</f>
        <v/>
      </c>
      <c r="N194" s="267">
        <f>TB!AT186</f>
        <v>0</v>
      </c>
      <c r="O194" s="267">
        <f>TB!AV186</f>
        <v>38</v>
      </c>
      <c r="P194" s="267">
        <f t="shared" si="68"/>
        <v>0</v>
      </c>
      <c r="Q194" s="267">
        <f t="shared" si="69"/>
        <v>0</v>
      </c>
      <c r="R194" s="267" t="str">
        <f>TB!AU186</f>
        <v>x6</v>
      </c>
      <c r="S194" s="267">
        <f>COUNTIF(N$12:N194,N194)</f>
        <v>183</v>
      </c>
      <c r="T194" s="267">
        <v>1</v>
      </c>
      <c r="U194" s="267">
        <f t="shared" si="70"/>
        <v>200</v>
      </c>
      <c r="V194" s="267" t="str">
        <f t="shared" si="81"/>
        <v>Acorus Calamus0</v>
      </c>
      <c r="W194" s="267" t="str">
        <f t="shared" si="80"/>
        <v/>
      </c>
      <c r="X194" s="267" t="str">
        <f>IF(W194&lt;&gt;"",1+COUNT(X$12:X193),"")</f>
        <v/>
      </c>
      <c r="Y194" s="267" t="str">
        <f t="shared" si="71"/>
        <v/>
      </c>
      <c r="Z194" s="267" t="str">
        <f t="shared" si="72"/>
        <v/>
      </c>
      <c r="AA194" s="267" t="str">
        <f t="shared" si="73"/>
        <v/>
      </c>
      <c r="AB194" s="267" t="str">
        <f t="shared" si="74"/>
        <v/>
      </c>
      <c r="AC194" s="267" t="str">
        <f t="shared" si="75"/>
        <v/>
      </c>
      <c r="AD194" s="267" t="str">
        <f t="shared" si="76"/>
        <v/>
      </c>
      <c r="AE194" s="267" t="str">
        <f t="shared" si="77"/>
        <v/>
      </c>
      <c r="AF194" s="267">
        <f t="shared" si="89"/>
        <v>0</v>
      </c>
      <c r="AG194" s="267" t="str">
        <f t="shared" si="79"/>
        <v/>
      </c>
      <c r="AH194" s="267" t="str">
        <f>IFERROR(RANK(AG194,AG$12:AG$211,1)+COUNTIF(AG$12:AG194,AG194)-1,"")</f>
        <v/>
      </c>
    </row>
    <row r="195" spans="1:34" x14ac:dyDescent="0.25">
      <c r="A195" s="267">
        <v>184</v>
      </c>
      <c r="B195" s="291" t="str">
        <f t="shared" si="83"/>
        <v/>
      </c>
      <c r="C195" s="292" t="str">
        <f t="shared" si="84"/>
        <v/>
      </c>
      <c r="D195" s="293" t="str">
        <f t="shared" si="85"/>
        <v/>
      </c>
      <c r="E195" s="294" t="str">
        <f t="shared" si="90"/>
        <v/>
      </c>
      <c r="F195" s="295" t="str">
        <f t="shared" si="86"/>
        <v/>
      </c>
      <c r="G195" s="281" t="str">
        <f t="shared" si="87"/>
        <v/>
      </c>
      <c r="H195" s="296" t="str">
        <f t="shared" si="88"/>
        <v/>
      </c>
      <c r="I195" s="297"/>
      <c r="J195" s="298"/>
      <c r="L195" s="267" t="str">
        <f>TB!AG187</f>
        <v>Acorus Calamus</v>
      </c>
      <c r="M195" s="267" t="str">
        <f>TB!AD187</f>
        <v/>
      </c>
      <c r="N195" s="267">
        <f>TB!AT187</f>
        <v>0</v>
      </c>
      <c r="O195" s="267">
        <f>TB!AV187</f>
        <v>38</v>
      </c>
      <c r="P195" s="267">
        <f t="shared" si="68"/>
        <v>0</v>
      </c>
      <c r="Q195" s="267">
        <f t="shared" si="69"/>
        <v>0</v>
      </c>
      <c r="R195" s="267" t="str">
        <f>TB!AU187</f>
        <v>x6</v>
      </c>
      <c r="S195" s="267">
        <f>COUNTIF(N$12:N195,N195)</f>
        <v>184</v>
      </c>
      <c r="T195" s="267">
        <v>1</v>
      </c>
      <c r="U195" s="267">
        <f t="shared" si="70"/>
        <v>200</v>
      </c>
      <c r="V195" s="267" t="str">
        <f t="shared" si="81"/>
        <v>Acorus Calamus0</v>
      </c>
      <c r="W195" s="267" t="str">
        <f t="shared" si="80"/>
        <v/>
      </c>
      <c r="X195" s="267" t="str">
        <f>IF(W195&lt;&gt;"",1+COUNT(X$12:X194),"")</f>
        <v/>
      </c>
      <c r="Y195" s="267" t="str">
        <f t="shared" si="71"/>
        <v/>
      </c>
      <c r="Z195" s="267" t="str">
        <f t="shared" si="72"/>
        <v/>
      </c>
      <c r="AA195" s="267" t="str">
        <f t="shared" si="73"/>
        <v/>
      </c>
      <c r="AB195" s="267" t="str">
        <f t="shared" si="74"/>
        <v/>
      </c>
      <c r="AC195" s="267" t="str">
        <f t="shared" si="75"/>
        <v/>
      </c>
      <c r="AD195" s="267" t="str">
        <f t="shared" si="76"/>
        <v/>
      </c>
      <c r="AE195" s="267" t="str">
        <f t="shared" si="77"/>
        <v/>
      </c>
      <c r="AF195" s="267">
        <f t="shared" si="89"/>
        <v>0</v>
      </c>
      <c r="AG195" s="267" t="str">
        <f t="shared" si="79"/>
        <v/>
      </c>
      <c r="AH195" s="267" t="str">
        <f>IFERROR(RANK(AG195,AG$12:AG$211,1)+COUNTIF(AG$12:AG195,AG195)-1,"")</f>
        <v/>
      </c>
    </row>
    <row r="196" spans="1:34" x14ac:dyDescent="0.25">
      <c r="A196" s="267">
        <v>185</v>
      </c>
      <c r="B196" s="291" t="str">
        <f t="shared" si="83"/>
        <v/>
      </c>
      <c r="C196" s="292" t="str">
        <f t="shared" si="84"/>
        <v/>
      </c>
      <c r="D196" s="293" t="str">
        <f t="shared" si="85"/>
        <v/>
      </c>
      <c r="E196" s="294" t="str">
        <f t="shared" si="90"/>
        <v/>
      </c>
      <c r="F196" s="295" t="str">
        <f t="shared" si="86"/>
        <v/>
      </c>
      <c r="G196" s="281" t="str">
        <f t="shared" si="87"/>
        <v/>
      </c>
      <c r="H196" s="296" t="str">
        <f t="shared" si="88"/>
        <v/>
      </c>
      <c r="I196" s="297"/>
      <c r="J196" s="298"/>
      <c r="L196" s="267" t="str">
        <f>TB!AG188</f>
        <v>Acorus Calamus</v>
      </c>
      <c r="M196" s="267" t="str">
        <f>TB!AD188</f>
        <v/>
      </c>
      <c r="N196" s="267">
        <f>TB!AT188</f>
        <v>0</v>
      </c>
      <c r="O196" s="267">
        <f>TB!AV188</f>
        <v>38</v>
      </c>
      <c r="P196" s="267">
        <f t="shared" si="68"/>
        <v>0</v>
      </c>
      <c r="Q196" s="267">
        <f t="shared" si="69"/>
        <v>0</v>
      </c>
      <c r="R196" s="267" t="str">
        <f>TB!AU188</f>
        <v>x6</v>
      </c>
      <c r="S196" s="267">
        <f>COUNTIF(N$12:N196,N196)</f>
        <v>185</v>
      </c>
      <c r="T196" s="267">
        <v>1</v>
      </c>
      <c r="U196" s="267">
        <f t="shared" si="70"/>
        <v>200</v>
      </c>
      <c r="V196" s="267" t="str">
        <f t="shared" si="81"/>
        <v>Acorus Calamus0</v>
      </c>
      <c r="W196" s="267" t="str">
        <f t="shared" si="80"/>
        <v/>
      </c>
      <c r="X196" s="267" t="str">
        <f>IF(W196&lt;&gt;"",1+COUNT(X$12:X195),"")</f>
        <v/>
      </c>
      <c r="Y196" s="267" t="str">
        <f t="shared" si="71"/>
        <v/>
      </c>
      <c r="Z196" s="267" t="str">
        <f t="shared" si="72"/>
        <v/>
      </c>
      <c r="AA196" s="267" t="str">
        <f t="shared" si="73"/>
        <v/>
      </c>
      <c r="AB196" s="267" t="str">
        <f t="shared" si="74"/>
        <v/>
      </c>
      <c r="AC196" s="267" t="str">
        <f t="shared" si="75"/>
        <v/>
      </c>
      <c r="AD196" s="267" t="str">
        <f t="shared" si="76"/>
        <v/>
      </c>
      <c r="AE196" s="267" t="str">
        <f t="shared" si="77"/>
        <v/>
      </c>
      <c r="AF196" s="267">
        <f t="shared" si="89"/>
        <v>0</v>
      </c>
      <c r="AG196" s="267" t="str">
        <f t="shared" si="79"/>
        <v/>
      </c>
      <c r="AH196" s="267" t="str">
        <f>IFERROR(RANK(AG196,AG$12:AG$211,1)+COUNTIF(AG$12:AG196,AG196)-1,"")</f>
        <v/>
      </c>
    </row>
    <row r="197" spans="1:34" x14ac:dyDescent="0.25">
      <c r="A197" s="267">
        <v>186</v>
      </c>
      <c r="B197" s="291" t="str">
        <f t="shared" si="83"/>
        <v/>
      </c>
      <c r="C197" s="292" t="str">
        <f t="shared" si="84"/>
        <v/>
      </c>
      <c r="D197" s="293" t="str">
        <f t="shared" si="85"/>
        <v/>
      </c>
      <c r="E197" s="294" t="str">
        <f t="shared" si="90"/>
        <v/>
      </c>
      <c r="F197" s="295" t="str">
        <f t="shared" si="86"/>
        <v/>
      </c>
      <c r="G197" s="281" t="str">
        <f t="shared" si="87"/>
        <v/>
      </c>
      <c r="H197" s="296" t="str">
        <f t="shared" si="88"/>
        <v/>
      </c>
      <c r="I197" s="297"/>
      <c r="J197" s="298"/>
      <c r="L197" s="267" t="str">
        <f>TB!AG189</f>
        <v>Acorus Calamus</v>
      </c>
      <c r="M197" s="267" t="str">
        <f>TB!AD189</f>
        <v/>
      </c>
      <c r="N197" s="267">
        <f>TB!AT189</f>
        <v>0</v>
      </c>
      <c r="O197" s="267">
        <f>TB!AV189</f>
        <v>38</v>
      </c>
      <c r="P197" s="267">
        <f t="shared" si="68"/>
        <v>0</v>
      </c>
      <c r="Q197" s="267">
        <f t="shared" si="69"/>
        <v>0</v>
      </c>
      <c r="R197" s="267" t="str">
        <f>TB!AU189</f>
        <v>x6</v>
      </c>
      <c r="S197" s="267">
        <f>COUNTIF(N$12:N197,N197)</f>
        <v>186</v>
      </c>
      <c r="T197" s="267">
        <v>1</v>
      </c>
      <c r="U197" s="267">
        <f t="shared" si="70"/>
        <v>200</v>
      </c>
      <c r="V197" s="267" t="str">
        <f t="shared" si="81"/>
        <v>Acorus Calamus0</v>
      </c>
      <c r="W197" s="267" t="str">
        <f t="shared" si="80"/>
        <v/>
      </c>
      <c r="X197" s="267" t="str">
        <f>IF(W197&lt;&gt;"",1+COUNT(X$12:X196),"")</f>
        <v/>
      </c>
      <c r="Y197" s="267" t="str">
        <f t="shared" si="71"/>
        <v/>
      </c>
      <c r="Z197" s="267" t="str">
        <f t="shared" si="72"/>
        <v/>
      </c>
      <c r="AA197" s="267" t="str">
        <f t="shared" si="73"/>
        <v/>
      </c>
      <c r="AB197" s="267" t="str">
        <f t="shared" si="74"/>
        <v/>
      </c>
      <c r="AC197" s="267" t="str">
        <f t="shared" si="75"/>
        <v/>
      </c>
      <c r="AD197" s="267" t="str">
        <f t="shared" si="76"/>
        <v/>
      </c>
      <c r="AE197" s="267" t="str">
        <f t="shared" si="77"/>
        <v/>
      </c>
      <c r="AF197" s="267">
        <f t="shared" si="89"/>
        <v>0</v>
      </c>
      <c r="AG197" s="267" t="str">
        <f t="shared" si="79"/>
        <v/>
      </c>
      <c r="AH197" s="267" t="str">
        <f>IFERROR(RANK(AG197,AG$12:AG$211,1)+COUNTIF(AG$12:AG197,AG197)-1,"")</f>
        <v/>
      </c>
    </row>
    <row r="198" spans="1:34" x14ac:dyDescent="0.25">
      <c r="A198" s="267">
        <v>187</v>
      </c>
      <c r="B198" s="291" t="str">
        <f t="shared" si="83"/>
        <v/>
      </c>
      <c r="C198" s="292" t="str">
        <f t="shared" si="84"/>
        <v/>
      </c>
      <c r="D198" s="293" t="str">
        <f t="shared" si="85"/>
        <v/>
      </c>
      <c r="E198" s="294" t="str">
        <f t="shared" si="90"/>
        <v/>
      </c>
      <c r="F198" s="295" t="str">
        <f t="shared" si="86"/>
        <v/>
      </c>
      <c r="G198" s="281" t="str">
        <f t="shared" si="87"/>
        <v/>
      </c>
      <c r="H198" s="296" t="str">
        <f t="shared" si="88"/>
        <v/>
      </c>
      <c r="I198" s="297"/>
      <c r="J198" s="298"/>
      <c r="L198" s="267" t="str">
        <f>TB!AG190</f>
        <v>Acorus Calamus</v>
      </c>
      <c r="M198" s="267" t="str">
        <f>TB!AD190</f>
        <v/>
      </c>
      <c r="N198" s="267">
        <f>TB!AT190</f>
        <v>0</v>
      </c>
      <c r="O198" s="267">
        <f>TB!AV190</f>
        <v>38</v>
      </c>
      <c r="P198" s="267">
        <f t="shared" si="68"/>
        <v>0</v>
      </c>
      <c r="Q198" s="267">
        <f t="shared" si="69"/>
        <v>0</v>
      </c>
      <c r="R198" s="267" t="str">
        <f>TB!AU190</f>
        <v>x6</v>
      </c>
      <c r="S198" s="267">
        <f>COUNTIF(N$12:N198,N198)</f>
        <v>187</v>
      </c>
      <c r="T198" s="267">
        <v>1</v>
      </c>
      <c r="U198" s="267">
        <f t="shared" si="70"/>
        <v>200</v>
      </c>
      <c r="V198" s="267" t="str">
        <f t="shared" si="81"/>
        <v>Acorus Calamus0</v>
      </c>
      <c r="W198" s="267" t="str">
        <f t="shared" si="80"/>
        <v/>
      </c>
      <c r="X198" s="267" t="str">
        <f>IF(W198&lt;&gt;"",1+COUNT(X$12:X197),"")</f>
        <v/>
      </c>
      <c r="Y198" s="267" t="str">
        <f t="shared" si="71"/>
        <v/>
      </c>
      <c r="Z198" s="267" t="str">
        <f t="shared" si="72"/>
        <v/>
      </c>
      <c r="AA198" s="267" t="str">
        <f t="shared" si="73"/>
        <v/>
      </c>
      <c r="AB198" s="267" t="str">
        <f t="shared" si="74"/>
        <v/>
      </c>
      <c r="AC198" s="267" t="str">
        <f t="shared" si="75"/>
        <v/>
      </c>
      <c r="AD198" s="267" t="str">
        <f t="shared" si="76"/>
        <v/>
      </c>
      <c r="AE198" s="267" t="str">
        <f t="shared" si="77"/>
        <v/>
      </c>
      <c r="AF198" s="267">
        <f t="shared" si="89"/>
        <v>0</v>
      </c>
      <c r="AG198" s="267" t="str">
        <f t="shared" si="79"/>
        <v/>
      </c>
      <c r="AH198" s="267" t="str">
        <f>IFERROR(RANK(AG198,AG$12:AG$211,1)+COUNTIF(AG$12:AG198,AG198)-1,"")</f>
        <v/>
      </c>
    </row>
    <row r="199" spans="1:34" x14ac:dyDescent="0.25">
      <c r="A199" s="267">
        <v>188</v>
      </c>
      <c r="B199" s="291" t="str">
        <f t="shared" si="83"/>
        <v/>
      </c>
      <c r="C199" s="292" t="str">
        <f t="shared" si="84"/>
        <v/>
      </c>
      <c r="D199" s="293" t="str">
        <f t="shared" si="85"/>
        <v/>
      </c>
      <c r="E199" s="294" t="str">
        <f t="shared" si="90"/>
        <v/>
      </c>
      <c r="F199" s="295" t="str">
        <f t="shared" si="86"/>
        <v/>
      </c>
      <c r="G199" s="281" t="str">
        <f t="shared" si="87"/>
        <v/>
      </c>
      <c r="H199" s="296" t="str">
        <f t="shared" si="88"/>
        <v/>
      </c>
      <c r="I199" s="297"/>
      <c r="J199" s="298"/>
      <c r="L199" s="267" t="str">
        <f>TB!AG191</f>
        <v>Acorus Calamus</v>
      </c>
      <c r="M199" s="267" t="str">
        <f>TB!AD191</f>
        <v/>
      </c>
      <c r="N199" s="267">
        <f>TB!AT191</f>
        <v>0</v>
      </c>
      <c r="O199" s="267">
        <f>TB!AV191</f>
        <v>38</v>
      </c>
      <c r="P199" s="267">
        <f t="shared" si="68"/>
        <v>0</v>
      </c>
      <c r="Q199" s="267">
        <f t="shared" si="69"/>
        <v>0</v>
      </c>
      <c r="R199" s="267" t="str">
        <f>TB!AU191</f>
        <v>x6</v>
      </c>
      <c r="S199" s="267">
        <f>COUNTIF(N$12:N199,N199)</f>
        <v>188</v>
      </c>
      <c r="T199" s="267">
        <v>1</v>
      </c>
      <c r="U199" s="267">
        <f t="shared" si="70"/>
        <v>200</v>
      </c>
      <c r="V199" s="267" t="str">
        <f t="shared" si="81"/>
        <v>Acorus Calamus0</v>
      </c>
      <c r="W199" s="267" t="str">
        <f t="shared" si="80"/>
        <v/>
      </c>
      <c r="X199" s="267" t="str">
        <f>IF(W199&lt;&gt;"",1+COUNT(X$12:X198),"")</f>
        <v/>
      </c>
      <c r="Y199" s="267" t="str">
        <f t="shared" si="71"/>
        <v/>
      </c>
      <c r="Z199" s="267" t="str">
        <f t="shared" si="72"/>
        <v/>
      </c>
      <c r="AA199" s="267" t="str">
        <f t="shared" si="73"/>
        <v/>
      </c>
      <c r="AB199" s="267" t="str">
        <f t="shared" si="74"/>
        <v/>
      </c>
      <c r="AC199" s="267" t="str">
        <f t="shared" si="75"/>
        <v/>
      </c>
      <c r="AD199" s="267" t="str">
        <f t="shared" si="76"/>
        <v/>
      </c>
      <c r="AE199" s="267" t="str">
        <f t="shared" si="77"/>
        <v/>
      </c>
      <c r="AF199" s="267">
        <f t="shared" si="89"/>
        <v>0</v>
      </c>
      <c r="AG199" s="267" t="str">
        <f t="shared" si="79"/>
        <v/>
      </c>
      <c r="AH199" s="267" t="str">
        <f>IFERROR(RANK(AG199,AG$12:AG$211,1)+COUNTIF(AG$12:AG199,AG199)-1,"")</f>
        <v/>
      </c>
    </row>
    <row r="200" spans="1:34" x14ac:dyDescent="0.25">
      <c r="A200" s="267">
        <v>189</v>
      </c>
      <c r="B200" s="291" t="str">
        <f t="shared" si="83"/>
        <v/>
      </c>
      <c r="C200" s="292" t="str">
        <f t="shared" si="84"/>
        <v/>
      </c>
      <c r="D200" s="293" t="str">
        <f t="shared" si="85"/>
        <v/>
      </c>
      <c r="E200" s="294" t="str">
        <f t="shared" si="90"/>
        <v/>
      </c>
      <c r="F200" s="295" t="str">
        <f t="shared" si="86"/>
        <v/>
      </c>
      <c r="G200" s="281" t="str">
        <f t="shared" si="87"/>
        <v/>
      </c>
      <c r="H200" s="296" t="str">
        <f t="shared" si="88"/>
        <v/>
      </c>
      <c r="I200" s="297"/>
      <c r="J200" s="298"/>
      <c r="L200" s="267" t="str">
        <f>TB!AG192</f>
        <v>Acorus Calamus</v>
      </c>
      <c r="M200" s="267" t="str">
        <f>TB!AD192</f>
        <v/>
      </c>
      <c r="N200" s="267">
        <f>TB!AT192</f>
        <v>0</v>
      </c>
      <c r="O200" s="267">
        <f>TB!AV192</f>
        <v>38</v>
      </c>
      <c r="P200" s="267">
        <f t="shared" si="68"/>
        <v>0</v>
      </c>
      <c r="Q200" s="267">
        <f t="shared" si="69"/>
        <v>0</v>
      </c>
      <c r="R200" s="267" t="str">
        <f>TB!AU192</f>
        <v>x6</v>
      </c>
      <c r="S200" s="267">
        <f>COUNTIF(N$12:N200,N200)</f>
        <v>189</v>
      </c>
      <c r="T200" s="267">
        <v>1</v>
      </c>
      <c r="U200" s="267">
        <f t="shared" si="70"/>
        <v>200</v>
      </c>
      <c r="V200" s="267" t="str">
        <f t="shared" si="81"/>
        <v>Acorus Calamus0</v>
      </c>
      <c r="W200" s="267" t="str">
        <f t="shared" si="80"/>
        <v/>
      </c>
      <c r="X200" s="267" t="str">
        <f>IF(W200&lt;&gt;"",1+COUNT(X$12:X199),"")</f>
        <v/>
      </c>
      <c r="Y200" s="267" t="str">
        <f t="shared" si="71"/>
        <v/>
      </c>
      <c r="Z200" s="267" t="str">
        <f t="shared" si="72"/>
        <v/>
      </c>
      <c r="AA200" s="267" t="str">
        <f t="shared" si="73"/>
        <v/>
      </c>
      <c r="AB200" s="267" t="str">
        <f t="shared" si="74"/>
        <v/>
      </c>
      <c r="AC200" s="267" t="str">
        <f t="shared" si="75"/>
        <v/>
      </c>
      <c r="AD200" s="267" t="str">
        <f t="shared" si="76"/>
        <v/>
      </c>
      <c r="AE200" s="267" t="str">
        <f t="shared" si="77"/>
        <v/>
      </c>
      <c r="AF200" s="267">
        <f t="shared" si="89"/>
        <v>0</v>
      </c>
      <c r="AG200" s="267" t="str">
        <f t="shared" si="79"/>
        <v/>
      </c>
      <c r="AH200" s="267" t="str">
        <f>IFERROR(RANK(AG200,AG$12:AG$211,1)+COUNTIF(AG$12:AG200,AG200)-1,"")</f>
        <v/>
      </c>
    </row>
    <row r="201" spans="1:34" x14ac:dyDescent="0.25">
      <c r="A201" s="267">
        <v>190</v>
      </c>
      <c r="B201" s="291" t="str">
        <f t="shared" si="83"/>
        <v/>
      </c>
      <c r="C201" s="292" t="str">
        <f t="shared" si="84"/>
        <v/>
      </c>
      <c r="D201" s="293" t="str">
        <f t="shared" si="85"/>
        <v/>
      </c>
      <c r="E201" s="294" t="str">
        <f t="shared" si="90"/>
        <v/>
      </c>
      <c r="F201" s="295" t="str">
        <f t="shared" si="86"/>
        <v/>
      </c>
      <c r="G201" s="281" t="str">
        <f t="shared" si="87"/>
        <v/>
      </c>
      <c r="H201" s="296" t="str">
        <f t="shared" si="88"/>
        <v/>
      </c>
      <c r="I201" s="297"/>
      <c r="J201" s="298"/>
      <c r="L201" s="267" t="str">
        <f>TB!AG193</f>
        <v>Acorus Calamus</v>
      </c>
      <c r="M201" s="267" t="str">
        <f>TB!AD193</f>
        <v/>
      </c>
      <c r="N201" s="267">
        <f>TB!AT193</f>
        <v>0</v>
      </c>
      <c r="O201" s="267">
        <f>TB!AV193</f>
        <v>38</v>
      </c>
      <c r="P201" s="267">
        <f t="shared" si="68"/>
        <v>0</v>
      </c>
      <c r="Q201" s="267">
        <f t="shared" si="69"/>
        <v>0</v>
      </c>
      <c r="R201" s="267" t="str">
        <f>TB!AU193</f>
        <v>x6</v>
      </c>
      <c r="S201" s="267">
        <f>COUNTIF(N$12:N201,N201)</f>
        <v>190</v>
      </c>
      <c r="T201" s="267">
        <v>1</v>
      </c>
      <c r="U201" s="267">
        <f t="shared" si="70"/>
        <v>200</v>
      </c>
      <c r="V201" s="267" t="str">
        <f t="shared" si="81"/>
        <v>Acorus Calamus0</v>
      </c>
      <c r="W201" s="267" t="str">
        <f t="shared" si="80"/>
        <v/>
      </c>
      <c r="X201" s="267" t="str">
        <f>IF(W201&lt;&gt;"",1+COUNT(X$12:X200),"")</f>
        <v/>
      </c>
      <c r="Y201" s="267" t="str">
        <f t="shared" si="71"/>
        <v/>
      </c>
      <c r="Z201" s="267" t="str">
        <f t="shared" si="72"/>
        <v/>
      </c>
      <c r="AA201" s="267" t="str">
        <f t="shared" si="73"/>
        <v/>
      </c>
      <c r="AB201" s="267" t="str">
        <f t="shared" si="74"/>
        <v/>
      </c>
      <c r="AC201" s="267" t="str">
        <f t="shared" si="75"/>
        <v/>
      </c>
      <c r="AD201" s="267" t="str">
        <f t="shared" si="76"/>
        <v/>
      </c>
      <c r="AE201" s="267" t="str">
        <f t="shared" si="77"/>
        <v/>
      </c>
      <c r="AF201" s="267">
        <f t="shared" si="89"/>
        <v>0</v>
      </c>
      <c r="AG201" s="267" t="str">
        <f t="shared" si="79"/>
        <v/>
      </c>
      <c r="AH201" s="267" t="str">
        <f>IFERROR(RANK(AG201,AG$12:AG$211,1)+COUNTIF(AG$12:AG201,AG201)-1,"")</f>
        <v/>
      </c>
    </row>
    <row r="202" spans="1:34" x14ac:dyDescent="0.25">
      <c r="A202" s="267">
        <v>191</v>
      </c>
      <c r="B202" s="291" t="str">
        <f t="shared" si="83"/>
        <v/>
      </c>
      <c r="C202" s="292" t="str">
        <f t="shared" si="84"/>
        <v/>
      </c>
      <c r="D202" s="293" t="str">
        <f t="shared" si="85"/>
        <v/>
      </c>
      <c r="E202" s="294" t="str">
        <f t="shared" si="90"/>
        <v/>
      </c>
      <c r="F202" s="295" t="str">
        <f t="shared" si="86"/>
        <v/>
      </c>
      <c r="G202" s="281" t="str">
        <f t="shared" si="87"/>
        <v/>
      </c>
      <c r="H202" s="296" t="str">
        <f t="shared" si="88"/>
        <v/>
      </c>
      <c r="I202" s="297"/>
      <c r="J202" s="298"/>
      <c r="L202" s="267" t="str">
        <f>TB!AG194</f>
        <v>Acorus Calamus</v>
      </c>
      <c r="M202" s="267" t="str">
        <f>TB!AD194</f>
        <v/>
      </c>
      <c r="N202" s="267">
        <f>TB!AT194</f>
        <v>0</v>
      </c>
      <c r="O202" s="267">
        <f>TB!AV194</f>
        <v>38</v>
      </c>
      <c r="P202" s="267">
        <f t="shared" si="68"/>
        <v>0</v>
      </c>
      <c r="Q202" s="267">
        <f t="shared" si="69"/>
        <v>0</v>
      </c>
      <c r="R202" s="267" t="str">
        <f>TB!AU194</f>
        <v>x6</v>
      </c>
      <c r="S202" s="267">
        <f>COUNTIF(N$12:N202,N202)</f>
        <v>191</v>
      </c>
      <c r="T202" s="267">
        <v>1</v>
      </c>
      <c r="U202" s="267">
        <f t="shared" si="70"/>
        <v>200</v>
      </c>
      <c r="V202" s="267" t="str">
        <f t="shared" si="81"/>
        <v>Acorus Calamus0</v>
      </c>
      <c r="W202" s="267" t="str">
        <f t="shared" si="80"/>
        <v/>
      </c>
      <c r="X202" s="267" t="str">
        <f>IF(W202&lt;&gt;"",1+COUNT(X$12:X201),"")</f>
        <v/>
      </c>
      <c r="Y202" s="267" t="str">
        <f t="shared" si="71"/>
        <v/>
      </c>
      <c r="Z202" s="267" t="str">
        <f t="shared" si="72"/>
        <v/>
      </c>
      <c r="AA202" s="267" t="str">
        <f t="shared" si="73"/>
        <v/>
      </c>
      <c r="AB202" s="267" t="str">
        <f t="shared" si="74"/>
        <v/>
      </c>
      <c r="AC202" s="267" t="str">
        <f t="shared" si="75"/>
        <v/>
      </c>
      <c r="AD202" s="267" t="str">
        <f t="shared" si="76"/>
        <v/>
      </c>
      <c r="AE202" s="267" t="str">
        <f t="shared" si="77"/>
        <v/>
      </c>
      <c r="AF202" s="267">
        <f t="shared" si="89"/>
        <v>0</v>
      </c>
      <c r="AG202" s="267" t="str">
        <f t="shared" si="79"/>
        <v/>
      </c>
      <c r="AH202" s="267" t="str">
        <f>IFERROR(RANK(AG202,AG$12:AG$211,1)+COUNTIF(AG$12:AG202,AG202)-1,"")</f>
        <v/>
      </c>
    </row>
    <row r="203" spans="1:34" x14ac:dyDescent="0.25">
      <c r="A203" s="267">
        <v>192</v>
      </c>
      <c r="B203" s="291" t="str">
        <f t="shared" si="83"/>
        <v/>
      </c>
      <c r="C203" s="292" t="str">
        <f t="shared" si="84"/>
        <v/>
      </c>
      <c r="D203" s="293" t="str">
        <f t="shared" si="85"/>
        <v/>
      </c>
      <c r="E203" s="294" t="str">
        <f t="shared" si="90"/>
        <v/>
      </c>
      <c r="F203" s="295" t="str">
        <f t="shared" si="86"/>
        <v/>
      </c>
      <c r="G203" s="281" t="str">
        <f t="shared" si="87"/>
        <v/>
      </c>
      <c r="H203" s="296" t="str">
        <f t="shared" si="88"/>
        <v/>
      </c>
      <c r="I203" s="297"/>
      <c r="J203" s="298"/>
      <c r="L203" s="267" t="str">
        <f>TB!AG195</f>
        <v>Acorus Calamus</v>
      </c>
      <c r="M203" s="267" t="str">
        <f>TB!AD195</f>
        <v/>
      </c>
      <c r="N203" s="267">
        <f>TB!AT195</f>
        <v>0</v>
      </c>
      <c r="O203" s="267">
        <f>TB!AV195</f>
        <v>38</v>
      </c>
      <c r="P203" s="267">
        <f t="shared" si="68"/>
        <v>0</v>
      </c>
      <c r="Q203" s="267">
        <f t="shared" si="69"/>
        <v>0</v>
      </c>
      <c r="R203" s="267" t="str">
        <f>TB!AU195</f>
        <v>x6</v>
      </c>
      <c r="S203" s="267">
        <f>COUNTIF(N$12:N203,N203)</f>
        <v>192</v>
      </c>
      <c r="T203" s="267">
        <v>1</v>
      </c>
      <c r="U203" s="267">
        <f t="shared" si="70"/>
        <v>200</v>
      </c>
      <c r="V203" s="267" t="str">
        <f t="shared" si="81"/>
        <v>Acorus Calamus0</v>
      </c>
      <c r="W203" s="267" t="str">
        <f t="shared" si="80"/>
        <v/>
      </c>
      <c r="X203" s="267" t="str">
        <f>IF(W203&lt;&gt;"",1+COUNT(X$12:X202),"")</f>
        <v/>
      </c>
      <c r="Y203" s="267" t="str">
        <f t="shared" si="71"/>
        <v/>
      </c>
      <c r="Z203" s="267" t="str">
        <f t="shared" si="72"/>
        <v/>
      </c>
      <c r="AA203" s="267" t="str">
        <f t="shared" si="73"/>
        <v/>
      </c>
      <c r="AB203" s="267" t="str">
        <f t="shared" si="74"/>
        <v/>
      </c>
      <c r="AC203" s="267" t="str">
        <f t="shared" si="75"/>
        <v/>
      </c>
      <c r="AD203" s="267" t="str">
        <f t="shared" si="76"/>
        <v/>
      </c>
      <c r="AE203" s="267" t="str">
        <f t="shared" si="77"/>
        <v/>
      </c>
      <c r="AF203" s="267">
        <f t="shared" si="89"/>
        <v>0</v>
      </c>
      <c r="AG203" s="267" t="str">
        <f t="shared" si="79"/>
        <v/>
      </c>
      <c r="AH203" s="267" t="str">
        <f>IFERROR(RANK(AG203,AG$12:AG$211,1)+COUNTIF(AG$12:AG203,AG203)-1,"")</f>
        <v/>
      </c>
    </row>
    <row r="204" spans="1:34" x14ac:dyDescent="0.25">
      <c r="A204" s="267">
        <v>193</v>
      </c>
      <c r="B204" s="291" t="str">
        <f t="shared" ref="B204:B211" si="91">_xlfn.SINGLE(_xlfn.XLOOKUP(A204,AH$12:AH$211,Z$12:Z$211,""))</f>
        <v/>
      </c>
      <c r="C204" s="292" t="str">
        <f t="shared" ref="C204:C211" si="92">_xlfn.SINGLE(_xlfn.XLOOKUP(A204,AH$12:AH$211,AE$12:AE$211,""))</f>
        <v/>
      </c>
      <c r="D204" s="293" t="str">
        <f t="shared" si="85"/>
        <v/>
      </c>
      <c r="E204" s="294" t="str">
        <f t="shared" si="90"/>
        <v/>
      </c>
      <c r="F204" s="295" t="str">
        <f t="shared" si="86"/>
        <v/>
      </c>
      <c r="G204" s="281" t="str">
        <f t="shared" si="87"/>
        <v/>
      </c>
      <c r="H204" s="296" t="str">
        <f t="shared" si="88"/>
        <v/>
      </c>
      <c r="I204" s="297"/>
      <c r="J204" s="298"/>
      <c r="L204" s="267" t="str">
        <f>TB!AG196</f>
        <v>Acorus Calamus</v>
      </c>
      <c r="M204" s="267" t="str">
        <f>TB!AD196</f>
        <v/>
      </c>
      <c r="N204" s="267">
        <f>TB!AT196</f>
        <v>0</v>
      </c>
      <c r="O204" s="267">
        <f>TB!AV196</f>
        <v>38</v>
      </c>
      <c r="P204" s="267">
        <f t="shared" si="68"/>
        <v>0</v>
      </c>
      <c r="Q204" s="267">
        <f t="shared" si="69"/>
        <v>0</v>
      </c>
      <c r="R204" s="267" t="str">
        <f>TB!AU196</f>
        <v>x6</v>
      </c>
      <c r="S204" s="267">
        <f>COUNTIF(N$12:N204,N204)</f>
        <v>193</v>
      </c>
      <c r="T204" s="267">
        <v>1</v>
      </c>
      <c r="U204" s="267">
        <f t="shared" si="70"/>
        <v>200</v>
      </c>
      <c r="V204" s="267" t="str">
        <f t="shared" si="81"/>
        <v>Acorus Calamus0</v>
      </c>
      <c r="W204" s="267" t="str">
        <f t="shared" si="80"/>
        <v/>
      </c>
      <c r="X204" s="267" t="str">
        <f>IF(W204&lt;&gt;"",1+COUNT(X$12:X203),"")</f>
        <v/>
      </c>
      <c r="Y204" s="267" t="str">
        <f t="shared" si="71"/>
        <v/>
      </c>
      <c r="Z204" s="267" t="str">
        <f t="shared" si="72"/>
        <v/>
      </c>
      <c r="AA204" s="267" t="str">
        <f t="shared" si="73"/>
        <v/>
      </c>
      <c r="AB204" s="267" t="str">
        <f t="shared" si="74"/>
        <v/>
      </c>
      <c r="AC204" s="267" t="str">
        <f t="shared" si="75"/>
        <v/>
      </c>
      <c r="AD204" s="267" t="str">
        <f t="shared" si="76"/>
        <v/>
      </c>
      <c r="AE204" s="267" t="str">
        <f t="shared" si="77"/>
        <v/>
      </c>
      <c r="AF204" s="267">
        <f t="shared" si="89"/>
        <v>0</v>
      </c>
      <c r="AG204" s="267" t="str">
        <f t="shared" si="79"/>
        <v/>
      </c>
      <c r="AH204" s="267" t="str">
        <f>IFERROR(RANK(AG204,AG$12:AG$211,1)+COUNTIF(AG$12:AG204,AG204)-1,"")</f>
        <v/>
      </c>
    </row>
    <row r="205" spans="1:34" x14ac:dyDescent="0.25">
      <c r="A205" s="267">
        <v>194</v>
      </c>
      <c r="B205" s="291" t="str">
        <f t="shared" si="91"/>
        <v/>
      </c>
      <c r="C205" s="292" t="str">
        <f t="shared" si="92"/>
        <v/>
      </c>
      <c r="D205" s="293" t="str">
        <f t="shared" ref="D205:D211" si="93">_xlfn.SINGLE(_xlfn.XLOOKUP(A205,AH$12:AH$211,Y$12:Y$211,""))</f>
        <v/>
      </c>
      <c r="E205" s="294" t="str">
        <f t="shared" si="90"/>
        <v/>
      </c>
      <c r="F205" s="295" t="str">
        <f t="shared" ref="F205:F211" si="94">_xlfn.SINGLE(_xlfn.XLOOKUP(A205,AH$12:AH$211,AB$12:AB$211,""))</f>
        <v/>
      </c>
      <c r="G205" s="281" t="str">
        <f t="shared" ref="G205:G211" si="95">_xlfn.SINGLE(_xlfn.XLOOKUP(A205,AH$12:AH$211,AC$12:AC$211,""))</f>
        <v/>
      </c>
      <c r="H205" s="296" t="str">
        <f t="shared" ref="H205:H211" si="96">_xlfn.SINGLE(_xlfn.XLOOKUP(A205,AH$12:AH$211,AD$12:AD$211,""))</f>
        <v/>
      </c>
      <c r="I205" s="297"/>
      <c r="J205" s="298"/>
      <c r="L205" s="267" t="str">
        <f>TB!AG197</f>
        <v>Acorus Calamus</v>
      </c>
      <c r="M205" s="267" t="str">
        <f>TB!AD197</f>
        <v/>
      </c>
      <c r="N205" s="267">
        <f>TB!AT197</f>
        <v>0</v>
      </c>
      <c r="O205" s="267">
        <f>TB!AV197</f>
        <v>38</v>
      </c>
      <c r="P205" s="267">
        <f t="shared" ref="P205:P211" si="97">ROUNDDOWN(N205/10,0)</f>
        <v>0</v>
      </c>
      <c r="Q205" s="267">
        <f t="shared" ref="Q205:Q211" si="98">N205-P205*10</f>
        <v>0</v>
      </c>
      <c r="R205" s="267" t="str">
        <f>TB!AU197</f>
        <v>x6</v>
      </c>
      <c r="S205" s="267">
        <f>COUNTIF(N$12:N205,N205)</f>
        <v>194</v>
      </c>
      <c r="T205" s="267">
        <v>1</v>
      </c>
      <c r="U205" s="267">
        <f t="shared" ref="U205:U211" si="99">SUMIFS(T$12:T$211,L$12:L$211,L205,M$12:M$211,M205,N$12:N$211,N205)</f>
        <v>200</v>
      </c>
      <c r="V205" s="267" t="str">
        <f t="shared" si="81"/>
        <v>Acorus Calamus0</v>
      </c>
      <c r="W205" s="267" t="str">
        <f t="shared" si="80"/>
        <v/>
      </c>
      <c r="X205" s="267" t="str">
        <f>IF(W205&lt;&gt;"",1+COUNT(X$12:X204),"")</f>
        <v/>
      </c>
      <c r="Y205" s="267" t="str">
        <f t="shared" ref="Y205:Y211" si="100">IF(X205&lt;&gt;"",L205,"")</f>
        <v/>
      </c>
      <c r="Z205" s="267" t="str">
        <f t="shared" ref="Z205:Z211" si="101">IF(X205&lt;&gt;"",M205,"")</f>
        <v/>
      </c>
      <c r="AA205" s="267" t="str">
        <f t="shared" ref="AA205:AA211" si="102">IF(X205&lt;&gt;"",U205,"")</f>
        <v/>
      </c>
      <c r="AB205" s="267" t="str">
        <f t="shared" ref="AB205:AB211" si="103">IF(X205&lt;&gt;"",R205,"")</f>
        <v/>
      </c>
      <c r="AC205" s="267" t="str">
        <f t="shared" ref="AC205:AC211" si="104">IF(X205&lt;&gt;"",P205,"")</f>
        <v/>
      </c>
      <c r="AD205" s="267" t="str">
        <f t="shared" ref="AD205:AD211" si="105">IF(X205&lt;&gt;"",Q205,"")</f>
        <v/>
      </c>
      <c r="AE205" s="267" t="str">
        <f t="shared" ref="AE205:AE211" si="106">IF(X205&lt;&gt;"",O205,"")</f>
        <v/>
      </c>
      <c r="AF205" s="267">
        <f t="shared" ref="AF205:AF211" si="107">_xlfn.SINGLE(_xlfn.XLOOKUP(AE205,AM$12:AM$122,AN$12:AN$122,0))</f>
        <v>0</v>
      </c>
      <c r="AG205" s="267" t="str">
        <f t="shared" ref="AG205:AG211" si="108">IFERROR(AC205*1000+AE205+IF(AE205=100,10000,0),"")</f>
        <v/>
      </c>
      <c r="AH205" s="267" t="str">
        <f>IFERROR(RANK(AG205,AG$12:AG$211,1)+COUNTIF(AG$12:AG205,AG205)-1,"")</f>
        <v/>
      </c>
    </row>
    <row r="206" spans="1:34" x14ac:dyDescent="0.25">
      <c r="A206" s="267">
        <v>195</v>
      </c>
      <c r="B206" s="291" t="str">
        <f t="shared" si="91"/>
        <v/>
      </c>
      <c r="C206" s="292" t="str">
        <f t="shared" si="92"/>
        <v/>
      </c>
      <c r="D206" s="293" t="str">
        <f t="shared" si="93"/>
        <v/>
      </c>
      <c r="E206" s="294" t="str">
        <f t="shared" si="90"/>
        <v/>
      </c>
      <c r="F206" s="295" t="str">
        <f t="shared" si="94"/>
        <v/>
      </c>
      <c r="G206" s="281" t="str">
        <f t="shared" si="95"/>
        <v/>
      </c>
      <c r="H206" s="296" t="str">
        <f t="shared" si="96"/>
        <v/>
      </c>
      <c r="I206" s="297"/>
      <c r="J206" s="298"/>
      <c r="L206" s="267" t="str">
        <f>TB!AG198</f>
        <v>Acorus Calamus</v>
      </c>
      <c r="M206" s="267" t="str">
        <f>TB!AD198</f>
        <v/>
      </c>
      <c r="N206" s="267">
        <f>TB!AT198</f>
        <v>0</v>
      </c>
      <c r="O206" s="267">
        <f>TB!AV198</f>
        <v>38</v>
      </c>
      <c r="P206" s="267">
        <f t="shared" si="97"/>
        <v>0</v>
      </c>
      <c r="Q206" s="267">
        <f t="shared" si="98"/>
        <v>0</v>
      </c>
      <c r="R206" s="267" t="str">
        <f>TB!AU198</f>
        <v>x6</v>
      </c>
      <c r="S206" s="267">
        <f>COUNTIF(N$12:N206,N206)</f>
        <v>195</v>
      </c>
      <c r="T206" s="267">
        <v>1</v>
      </c>
      <c r="U206" s="267">
        <f t="shared" si="99"/>
        <v>200</v>
      </c>
      <c r="V206" s="267" t="str">
        <f t="shared" si="81"/>
        <v>Acorus Calamus0</v>
      </c>
      <c r="W206" s="267" t="str">
        <f t="shared" ref="W206:W211" si="109">IF(V206=V205,"",V206)</f>
        <v/>
      </c>
      <c r="X206" s="267" t="str">
        <f>IF(W206&lt;&gt;"",1+COUNT(X$12:X205),"")</f>
        <v/>
      </c>
      <c r="Y206" s="267" t="str">
        <f t="shared" si="100"/>
        <v/>
      </c>
      <c r="Z206" s="267" t="str">
        <f t="shared" si="101"/>
        <v/>
      </c>
      <c r="AA206" s="267" t="str">
        <f t="shared" si="102"/>
        <v/>
      </c>
      <c r="AB206" s="267" t="str">
        <f t="shared" si="103"/>
        <v/>
      </c>
      <c r="AC206" s="267" t="str">
        <f t="shared" si="104"/>
        <v/>
      </c>
      <c r="AD206" s="267" t="str">
        <f t="shared" si="105"/>
        <v/>
      </c>
      <c r="AE206" s="267" t="str">
        <f t="shared" si="106"/>
        <v/>
      </c>
      <c r="AF206" s="267">
        <f t="shared" si="107"/>
        <v>0</v>
      </c>
      <c r="AG206" s="267" t="str">
        <f t="shared" si="108"/>
        <v/>
      </c>
      <c r="AH206" s="267" t="str">
        <f>IFERROR(RANK(AG206,AG$12:AG$211,1)+COUNTIF(AG$12:AG206,AG206)-1,"")</f>
        <v/>
      </c>
    </row>
    <row r="207" spans="1:34" x14ac:dyDescent="0.25">
      <c r="A207" s="267">
        <v>196</v>
      </c>
      <c r="B207" s="291" t="str">
        <f t="shared" si="91"/>
        <v/>
      </c>
      <c r="C207" s="292" t="str">
        <f t="shared" si="92"/>
        <v/>
      </c>
      <c r="D207" s="293" t="str">
        <f t="shared" si="93"/>
        <v/>
      </c>
      <c r="E207" s="294" t="str">
        <f t="shared" si="90"/>
        <v/>
      </c>
      <c r="F207" s="295" t="str">
        <f t="shared" si="94"/>
        <v/>
      </c>
      <c r="G207" s="281" t="str">
        <f t="shared" si="95"/>
        <v/>
      </c>
      <c r="H207" s="296" t="str">
        <f t="shared" si="96"/>
        <v/>
      </c>
      <c r="I207" s="297"/>
      <c r="J207" s="298"/>
      <c r="L207" s="267" t="str">
        <f>TB!AG199</f>
        <v>Acorus Calamus</v>
      </c>
      <c r="M207" s="267" t="str">
        <f>TB!AD199</f>
        <v/>
      </c>
      <c r="N207" s="267">
        <f>TB!AT199</f>
        <v>0</v>
      </c>
      <c r="O207" s="267">
        <f>TB!AV199</f>
        <v>38</v>
      </c>
      <c r="P207" s="267">
        <f t="shared" si="97"/>
        <v>0</v>
      </c>
      <c r="Q207" s="267">
        <f t="shared" si="98"/>
        <v>0</v>
      </c>
      <c r="R207" s="267" t="str">
        <f>TB!AU199</f>
        <v>x6</v>
      </c>
      <c r="S207" s="267">
        <f>COUNTIF(N$12:N207,N207)</f>
        <v>196</v>
      </c>
      <c r="T207" s="267">
        <v>1</v>
      </c>
      <c r="U207" s="267">
        <f t="shared" si="99"/>
        <v>200</v>
      </c>
      <c r="V207" s="267" t="str">
        <f t="shared" si="81"/>
        <v>Acorus Calamus0</v>
      </c>
      <c r="W207" s="267" t="str">
        <f t="shared" si="109"/>
        <v/>
      </c>
      <c r="X207" s="267" t="str">
        <f>IF(W207&lt;&gt;"",1+COUNT(X$12:X206),"")</f>
        <v/>
      </c>
      <c r="Y207" s="267" t="str">
        <f t="shared" si="100"/>
        <v/>
      </c>
      <c r="Z207" s="267" t="str">
        <f t="shared" si="101"/>
        <v/>
      </c>
      <c r="AA207" s="267" t="str">
        <f t="shared" si="102"/>
        <v/>
      </c>
      <c r="AB207" s="267" t="str">
        <f t="shared" si="103"/>
        <v/>
      </c>
      <c r="AC207" s="267" t="str">
        <f t="shared" si="104"/>
        <v/>
      </c>
      <c r="AD207" s="267" t="str">
        <f t="shared" si="105"/>
        <v/>
      </c>
      <c r="AE207" s="267" t="str">
        <f t="shared" si="106"/>
        <v/>
      </c>
      <c r="AF207" s="267">
        <f t="shared" si="107"/>
        <v>0</v>
      </c>
      <c r="AG207" s="267" t="str">
        <f t="shared" si="108"/>
        <v/>
      </c>
      <c r="AH207" s="267" t="str">
        <f>IFERROR(RANK(AG207,AG$12:AG$211,1)+COUNTIF(AG$12:AG207,AG207)-1,"")</f>
        <v/>
      </c>
    </row>
    <row r="208" spans="1:34" x14ac:dyDescent="0.25">
      <c r="A208" s="267">
        <v>197</v>
      </c>
      <c r="B208" s="291" t="str">
        <f t="shared" si="91"/>
        <v/>
      </c>
      <c r="C208" s="292" t="str">
        <f t="shared" si="92"/>
        <v/>
      </c>
      <c r="D208" s="293" t="str">
        <f t="shared" si="93"/>
        <v/>
      </c>
      <c r="E208" s="294" t="str">
        <f t="shared" si="90"/>
        <v/>
      </c>
      <c r="F208" s="295" t="str">
        <f t="shared" si="94"/>
        <v/>
      </c>
      <c r="G208" s="281" t="str">
        <f t="shared" si="95"/>
        <v/>
      </c>
      <c r="H208" s="296" t="str">
        <f t="shared" si="96"/>
        <v/>
      </c>
      <c r="I208" s="297"/>
      <c r="J208" s="298"/>
      <c r="L208" s="267" t="str">
        <f>TB!AG200</f>
        <v>Acorus Calamus</v>
      </c>
      <c r="M208" s="267" t="str">
        <f>TB!AD200</f>
        <v/>
      </c>
      <c r="N208" s="267">
        <f>TB!AT200</f>
        <v>0</v>
      </c>
      <c r="O208" s="267">
        <f>TB!AV200</f>
        <v>38</v>
      </c>
      <c r="P208" s="267">
        <f t="shared" si="97"/>
        <v>0</v>
      </c>
      <c r="Q208" s="267">
        <f t="shared" si="98"/>
        <v>0</v>
      </c>
      <c r="R208" s="267" t="str">
        <f>TB!AU200</f>
        <v>x6</v>
      </c>
      <c r="S208" s="267">
        <f>COUNTIF(N$12:N208,N208)</f>
        <v>197</v>
      </c>
      <c r="T208" s="267">
        <v>1</v>
      </c>
      <c r="U208" s="267">
        <f t="shared" si="99"/>
        <v>200</v>
      </c>
      <c r="V208" s="267" t="str">
        <f t="shared" si="81"/>
        <v>Acorus Calamus0</v>
      </c>
      <c r="W208" s="267" t="str">
        <f t="shared" si="109"/>
        <v/>
      </c>
      <c r="X208" s="267" t="str">
        <f>IF(W208&lt;&gt;"",1+COUNT(X$12:X207),"")</f>
        <v/>
      </c>
      <c r="Y208" s="267" t="str">
        <f t="shared" si="100"/>
        <v/>
      </c>
      <c r="Z208" s="267" t="str">
        <f t="shared" si="101"/>
        <v/>
      </c>
      <c r="AA208" s="267" t="str">
        <f t="shared" si="102"/>
        <v/>
      </c>
      <c r="AB208" s="267" t="str">
        <f t="shared" si="103"/>
        <v/>
      </c>
      <c r="AC208" s="267" t="str">
        <f t="shared" si="104"/>
        <v/>
      </c>
      <c r="AD208" s="267" t="str">
        <f t="shared" si="105"/>
        <v/>
      </c>
      <c r="AE208" s="267" t="str">
        <f t="shared" si="106"/>
        <v/>
      </c>
      <c r="AF208" s="267">
        <f t="shared" si="107"/>
        <v>0</v>
      </c>
      <c r="AG208" s="267" t="str">
        <f t="shared" si="108"/>
        <v/>
      </c>
      <c r="AH208" s="267" t="str">
        <f>IFERROR(RANK(AG208,AG$12:AG$211,1)+COUNTIF(AG$12:AG208,AG208)-1,"")</f>
        <v/>
      </c>
    </row>
    <row r="209" spans="1:36" x14ac:dyDescent="0.25">
      <c r="A209" s="267">
        <v>198</v>
      </c>
      <c r="B209" s="291" t="str">
        <f t="shared" si="91"/>
        <v/>
      </c>
      <c r="C209" s="292" t="str">
        <f t="shared" si="92"/>
        <v/>
      </c>
      <c r="D209" s="293" t="str">
        <f t="shared" si="93"/>
        <v/>
      </c>
      <c r="E209" s="294" t="str">
        <f t="shared" si="90"/>
        <v/>
      </c>
      <c r="F209" s="295" t="str">
        <f t="shared" si="94"/>
        <v/>
      </c>
      <c r="G209" s="281" t="str">
        <f t="shared" si="95"/>
        <v/>
      </c>
      <c r="H209" s="296" t="str">
        <f t="shared" si="96"/>
        <v/>
      </c>
      <c r="I209" s="297"/>
      <c r="J209" s="298"/>
      <c r="L209" s="267" t="str">
        <f>TB!AG201</f>
        <v>Acorus Calamus</v>
      </c>
      <c r="M209" s="267" t="str">
        <f>TB!AD201</f>
        <v/>
      </c>
      <c r="N209" s="267">
        <f>TB!AT201</f>
        <v>0</v>
      </c>
      <c r="O209" s="267">
        <f>TB!AV201</f>
        <v>38</v>
      </c>
      <c r="P209" s="267">
        <f t="shared" si="97"/>
        <v>0</v>
      </c>
      <c r="Q209" s="267">
        <f t="shared" si="98"/>
        <v>0</v>
      </c>
      <c r="R209" s="267" t="str">
        <f>TB!AU201</f>
        <v>x6</v>
      </c>
      <c r="S209" s="267">
        <f>COUNTIF(N$12:N209,N209)</f>
        <v>198</v>
      </c>
      <c r="T209" s="267">
        <v>1</v>
      </c>
      <c r="U209" s="267">
        <f t="shared" si="99"/>
        <v>200</v>
      </c>
      <c r="V209" s="267" t="str">
        <f t="shared" si="81"/>
        <v>Acorus Calamus0</v>
      </c>
      <c r="W209" s="267" t="str">
        <f t="shared" si="109"/>
        <v/>
      </c>
      <c r="X209" s="267" t="str">
        <f>IF(W209&lt;&gt;"",1+COUNT(X$12:X208),"")</f>
        <v/>
      </c>
      <c r="Y209" s="267" t="str">
        <f t="shared" si="100"/>
        <v/>
      </c>
      <c r="Z209" s="267" t="str">
        <f t="shared" si="101"/>
        <v/>
      </c>
      <c r="AA209" s="267" t="str">
        <f t="shared" si="102"/>
        <v/>
      </c>
      <c r="AB209" s="267" t="str">
        <f t="shared" si="103"/>
        <v/>
      </c>
      <c r="AC209" s="267" t="str">
        <f t="shared" si="104"/>
        <v/>
      </c>
      <c r="AD209" s="267" t="str">
        <f t="shared" si="105"/>
        <v/>
      </c>
      <c r="AE209" s="267" t="str">
        <f t="shared" si="106"/>
        <v/>
      </c>
      <c r="AF209" s="267">
        <f t="shared" si="107"/>
        <v>0</v>
      </c>
      <c r="AG209" s="267" t="str">
        <f t="shared" si="108"/>
        <v/>
      </c>
      <c r="AH209" s="267" t="str">
        <f>IFERROR(RANK(AG209,AG$12:AG$211,1)+COUNTIF(AG$12:AG209,AG209)-1,"")</f>
        <v/>
      </c>
    </row>
    <row r="210" spans="1:36" x14ac:dyDescent="0.25">
      <c r="A210" s="267">
        <v>199</v>
      </c>
      <c r="B210" s="291" t="str">
        <f t="shared" si="91"/>
        <v/>
      </c>
      <c r="C210" s="292" t="str">
        <f t="shared" si="92"/>
        <v/>
      </c>
      <c r="D210" s="293" t="str">
        <f t="shared" si="93"/>
        <v/>
      </c>
      <c r="E210" s="294" t="str">
        <f t="shared" si="90"/>
        <v/>
      </c>
      <c r="F210" s="295" t="str">
        <f t="shared" si="94"/>
        <v/>
      </c>
      <c r="G210" s="281" t="str">
        <f t="shared" si="95"/>
        <v/>
      </c>
      <c r="H210" s="296" t="str">
        <f t="shared" si="96"/>
        <v/>
      </c>
      <c r="I210" s="297"/>
      <c r="J210" s="298"/>
      <c r="L210" s="267" t="str">
        <f>TB!AG202</f>
        <v>Acorus Calamus</v>
      </c>
      <c r="M210" s="267" t="str">
        <f>TB!AD202</f>
        <v/>
      </c>
      <c r="N210" s="267">
        <f>TB!AT202</f>
        <v>0</v>
      </c>
      <c r="O210" s="267">
        <f>TB!AV202</f>
        <v>38</v>
      </c>
      <c r="P210" s="267">
        <f t="shared" si="97"/>
        <v>0</v>
      </c>
      <c r="Q210" s="267">
        <f t="shared" si="98"/>
        <v>0</v>
      </c>
      <c r="R210" s="267" t="str">
        <f>TB!AU202</f>
        <v>x6</v>
      </c>
      <c r="S210" s="267">
        <f>COUNTIF(N$12:N210,N210)</f>
        <v>199</v>
      </c>
      <c r="T210" s="267">
        <v>1</v>
      </c>
      <c r="U210" s="267">
        <f t="shared" si="99"/>
        <v>200</v>
      </c>
      <c r="V210" s="267" t="str">
        <f t="shared" si="81"/>
        <v>Acorus Calamus0</v>
      </c>
      <c r="W210" s="267" t="str">
        <f t="shared" si="109"/>
        <v/>
      </c>
      <c r="X210" s="267" t="str">
        <f>IF(W210&lt;&gt;"",1+COUNT(X$12:X209),"")</f>
        <v/>
      </c>
      <c r="Y210" s="267" t="str">
        <f t="shared" si="100"/>
        <v/>
      </c>
      <c r="Z210" s="267" t="str">
        <f t="shared" si="101"/>
        <v/>
      </c>
      <c r="AA210" s="267" t="str">
        <f t="shared" si="102"/>
        <v/>
      </c>
      <c r="AB210" s="267" t="str">
        <f t="shared" si="103"/>
        <v/>
      </c>
      <c r="AC210" s="267" t="str">
        <f t="shared" si="104"/>
        <v/>
      </c>
      <c r="AD210" s="267" t="str">
        <f t="shared" si="105"/>
        <v/>
      </c>
      <c r="AE210" s="267" t="str">
        <f t="shared" si="106"/>
        <v/>
      </c>
      <c r="AF210" s="267">
        <f t="shared" si="107"/>
        <v>0</v>
      </c>
      <c r="AG210" s="267" t="str">
        <f t="shared" si="108"/>
        <v/>
      </c>
      <c r="AH210" s="267" t="str">
        <f>IFERROR(RANK(AG210,AG$12:AG$211,1)+COUNTIF(AG$12:AG210,AG210)-1,"")</f>
        <v/>
      </c>
    </row>
    <row r="211" spans="1:36" x14ac:dyDescent="0.25">
      <c r="A211" s="267">
        <v>200</v>
      </c>
      <c r="B211" s="308" t="str">
        <f t="shared" si="91"/>
        <v/>
      </c>
      <c r="C211" s="309" t="str">
        <f t="shared" si="92"/>
        <v/>
      </c>
      <c r="D211" s="310" t="str">
        <f t="shared" si="93"/>
        <v/>
      </c>
      <c r="E211" s="311" t="str">
        <f t="shared" si="90"/>
        <v/>
      </c>
      <c r="F211" s="312" t="str">
        <f t="shared" si="94"/>
        <v/>
      </c>
      <c r="G211" s="285" t="str">
        <f t="shared" si="95"/>
        <v/>
      </c>
      <c r="H211" s="313" t="str">
        <f t="shared" si="96"/>
        <v/>
      </c>
      <c r="I211" s="314"/>
      <c r="J211" s="315"/>
      <c r="L211" s="267" t="str">
        <f>TB!AG203</f>
        <v>Acorus Calamus</v>
      </c>
      <c r="M211" s="267" t="str">
        <f>TB!AD203</f>
        <v/>
      </c>
      <c r="N211" s="267">
        <f>TB!AT203</f>
        <v>0</v>
      </c>
      <c r="O211" s="267">
        <f>TB!AV203</f>
        <v>38</v>
      </c>
      <c r="P211" s="267">
        <f t="shared" si="97"/>
        <v>0</v>
      </c>
      <c r="Q211" s="267">
        <f t="shared" si="98"/>
        <v>0</v>
      </c>
      <c r="R211" s="267" t="str">
        <f>TB!AU203</f>
        <v>x6</v>
      </c>
      <c r="S211" s="267">
        <f>COUNTIF(N$12:N211,N211)</f>
        <v>200</v>
      </c>
      <c r="T211" s="267">
        <v>1</v>
      </c>
      <c r="U211" s="267">
        <f t="shared" si="99"/>
        <v>200</v>
      </c>
      <c r="V211" s="267" t="str">
        <f t="shared" si="81"/>
        <v>Acorus Calamus0</v>
      </c>
      <c r="W211" s="267" t="str">
        <f t="shared" si="109"/>
        <v/>
      </c>
      <c r="X211" s="267" t="str">
        <f>IF(W211&lt;&gt;"",1+COUNT(X$12:X210),"")</f>
        <v/>
      </c>
      <c r="Y211" s="267" t="str">
        <f t="shared" si="100"/>
        <v/>
      </c>
      <c r="Z211" s="267" t="str">
        <f t="shared" si="101"/>
        <v/>
      </c>
      <c r="AA211" s="267" t="str">
        <f t="shared" si="102"/>
        <v/>
      </c>
      <c r="AB211" s="267" t="str">
        <f t="shared" si="103"/>
        <v/>
      </c>
      <c r="AC211" s="267" t="str">
        <f t="shared" si="104"/>
        <v/>
      </c>
      <c r="AD211" s="267" t="str">
        <f t="shared" si="105"/>
        <v/>
      </c>
      <c r="AE211" s="267" t="str">
        <f t="shared" si="106"/>
        <v/>
      </c>
      <c r="AF211" s="267">
        <f t="shared" si="107"/>
        <v>0</v>
      </c>
      <c r="AG211" s="267" t="str">
        <f t="shared" si="108"/>
        <v/>
      </c>
      <c r="AH211" s="267" t="str">
        <f>IFERROR(RANK(AG211,AG$12:AG$211,1)+COUNTIF(AG$12:AG211,AG211)-1,"")</f>
        <v/>
      </c>
    </row>
    <row r="212" spans="1:36" x14ac:dyDescent="0.25">
      <c r="A212" s="316"/>
      <c r="C212" s="316"/>
      <c r="L212" s="316"/>
      <c r="M212" s="316"/>
      <c r="N212" s="316"/>
      <c r="O212" s="316"/>
      <c r="P212" s="316"/>
      <c r="Q212" s="316"/>
      <c r="R212" s="316"/>
      <c r="S212" s="316"/>
      <c r="T212" s="316"/>
      <c r="U212" s="316"/>
      <c r="V212" s="316"/>
      <c r="W212" s="316"/>
      <c r="X212" s="316"/>
      <c r="Y212" s="316"/>
      <c r="Z212" s="316"/>
      <c r="AA212" s="316"/>
      <c r="AB212" s="316"/>
      <c r="AC212" s="316"/>
      <c r="AD212" s="316"/>
      <c r="AE212" s="316"/>
      <c r="AF212" s="316"/>
      <c r="AG212" s="316"/>
      <c r="AH212" s="316"/>
      <c r="AI212" s="316"/>
      <c r="AJ212" s="316"/>
    </row>
  </sheetData>
  <mergeCells count="4">
    <mergeCell ref="B1:B2"/>
    <mergeCell ref="C1:D2"/>
    <mergeCell ref="E11:F11"/>
    <mergeCell ref="I11:J11"/>
  </mergeCells>
  <conditionalFormatting sqref="B12:B211">
    <cfRule type="cellIs" dxfId="4" priority="4" operator="equal">
      <formula>"1L Deep Water Plants"</formula>
    </cfRule>
    <cfRule type="cellIs" dxfId="3" priority="5" operator="equal">
      <formula>"1L Waterlilies"</formula>
    </cfRule>
  </conditionalFormatting>
  <conditionalFormatting sqref="E12:E211">
    <cfRule type="cellIs" dxfId="2" priority="6" operator="greaterThan">
      <formula>1</formula>
    </cfRule>
  </conditionalFormatting>
  <conditionalFormatting sqref="F2:J2">
    <cfRule type="cellIs" dxfId="1" priority="1" operator="lessThan">
      <formula>1</formula>
    </cfRule>
  </conditionalFormatting>
  <conditionalFormatting sqref="K3:K8 F4:J9">
    <cfRule type="cellIs" dxfId="0" priority="2" operator="lessThan">
      <formula>1</formula>
    </cfRule>
  </conditionalFormatting>
  <pageMargins left="0.25" right="0.25" top="0.75" bottom="0.75" header="0.3" footer="0.3"/>
  <pageSetup paperSize="9" orientation="portrait" horizontalDpi="1200" verticalDpi="1200" r:id="rId1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BAFEC10-98C6-4E8E-95D8-53D072216364}">
  <dimension ref="A1:J151"/>
  <sheetViews>
    <sheetView workbookViewId="0">
      <selection activeCell="I3" sqref="I3"/>
    </sheetView>
  </sheetViews>
  <sheetFormatPr defaultRowHeight="15" x14ac:dyDescent="0.25"/>
  <cols>
    <col min="1" max="1" width="13.7109375" bestFit="1" customWidth="1"/>
    <col min="2" max="2" width="21" bestFit="1" customWidth="1"/>
    <col min="3" max="3" width="11.28515625" bestFit="1" customWidth="1"/>
    <col min="4" max="4" width="12.42578125" bestFit="1" customWidth="1"/>
  </cols>
  <sheetData>
    <row r="1" spans="1:10" x14ac:dyDescent="0.25">
      <c r="A1" t="s">
        <v>725</v>
      </c>
      <c r="B1" t="s">
        <v>726</v>
      </c>
      <c r="C1" t="s">
        <v>727</v>
      </c>
      <c r="D1" t="s">
        <v>728</v>
      </c>
      <c r="I1" s="260"/>
      <c r="J1">
        <f>'Order Page'!D1</f>
        <v>0</v>
      </c>
    </row>
    <row r="2" spans="1:10" x14ac:dyDescent="0.25">
      <c r="A2">
        <f>I$1</f>
        <v>0</v>
      </c>
      <c r="B2">
        <f>I$2</f>
        <v>0</v>
      </c>
      <c r="C2">
        <f>_xlfn.XLOOKUP(G2,'Order Page'!X$23:X$404,'Order Page'!U$23:U$404,0)</f>
        <v>0</v>
      </c>
      <c r="D2">
        <f>_xlfn.XLOOKUP(G2,'Order Page'!X$23:X$404,'Order Page'!N$23:N$404,0)</f>
        <v>0</v>
      </c>
      <c r="G2">
        <v>1</v>
      </c>
      <c r="I2" s="260">
        <f>'Order Page'!D5</f>
        <v>0</v>
      </c>
    </row>
    <row r="3" spans="1:10" x14ac:dyDescent="0.25">
      <c r="A3">
        <f t="shared" ref="A3:A66" si="0">I$1</f>
        <v>0</v>
      </c>
      <c r="B3">
        <f t="shared" ref="B3:B66" si="1">I$2</f>
        <v>0</v>
      </c>
      <c r="C3">
        <f>_xlfn.XLOOKUP(G3,'Order Page'!X$23:X$404,'Order Page'!U$23:U$404,0)</f>
        <v>0</v>
      </c>
      <c r="D3">
        <f>_xlfn.XLOOKUP(G3,'Order Page'!X$23:X$404,'Order Page'!N$23:N$404,0)</f>
        <v>0</v>
      </c>
      <c r="G3">
        <v>2</v>
      </c>
    </row>
    <row r="4" spans="1:10" x14ac:dyDescent="0.25">
      <c r="A4">
        <f t="shared" si="0"/>
        <v>0</v>
      </c>
      <c r="B4">
        <f t="shared" si="1"/>
        <v>0</v>
      </c>
      <c r="C4">
        <f>_xlfn.XLOOKUP(G4,'Order Page'!X$23:X$404,'Order Page'!U$23:U$404,0)</f>
        <v>0</v>
      </c>
      <c r="D4">
        <f>_xlfn.XLOOKUP(G4,'Order Page'!X$23:X$404,'Order Page'!N$23:N$404,0)</f>
        <v>0</v>
      </c>
      <c r="G4">
        <v>3</v>
      </c>
    </row>
    <row r="5" spans="1:10" x14ac:dyDescent="0.25">
      <c r="A5">
        <f t="shared" si="0"/>
        <v>0</v>
      </c>
      <c r="B5">
        <f t="shared" si="1"/>
        <v>0</v>
      </c>
      <c r="C5">
        <f>_xlfn.XLOOKUP(G5,'Order Page'!X$23:X$404,'Order Page'!U$23:U$404,0)</f>
        <v>0</v>
      </c>
      <c r="D5">
        <f>_xlfn.XLOOKUP(G5,'Order Page'!X$23:X$404,'Order Page'!N$23:N$404,0)</f>
        <v>0</v>
      </c>
      <c r="G5">
        <v>4</v>
      </c>
    </row>
    <row r="6" spans="1:10" x14ac:dyDescent="0.25">
      <c r="A6">
        <f t="shared" si="0"/>
        <v>0</v>
      </c>
      <c r="B6">
        <f t="shared" si="1"/>
        <v>0</v>
      </c>
      <c r="C6">
        <f>_xlfn.XLOOKUP(G6,'Order Page'!X$23:X$404,'Order Page'!U$23:U$404,0)</f>
        <v>0</v>
      </c>
      <c r="D6">
        <f>_xlfn.XLOOKUP(G6,'Order Page'!X$23:X$404,'Order Page'!N$23:N$404,0)</f>
        <v>0</v>
      </c>
      <c r="G6">
        <v>5</v>
      </c>
    </row>
    <row r="7" spans="1:10" x14ac:dyDescent="0.25">
      <c r="A7">
        <f t="shared" si="0"/>
        <v>0</v>
      </c>
      <c r="B7">
        <f t="shared" si="1"/>
        <v>0</v>
      </c>
      <c r="C7">
        <f>_xlfn.XLOOKUP(G7,'Order Page'!X$23:X$404,'Order Page'!U$23:U$404,0)</f>
        <v>0</v>
      </c>
      <c r="D7">
        <f>_xlfn.XLOOKUP(G7,'Order Page'!X$23:X$404,'Order Page'!N$23:N$404,0)</f>
        <v>0</v>
      </c>
      <c r="G7">
        <v>6</v>
      </c>
    </row>
    <row r="8" spans="1:10" x14ac:dyDescent="0.25">
      <c r="A8">
        <f t="shared" si="0"/>
        <v>0</v>
      </c>
      <c r="B8">
        <f t="shared" si="1"/>
        <v>0</v>
      </c>
      <c r="C8">
        <f>_xlfn.XLOOKUP(G8,'Order Page'!X$23:X$404,'Order Page'!U$23:U$404,0)</f>
        <v>0</v>
      </c>
      <c r="D8">
        <f>_xlfn.XLOOKUP(G8,'Order Page'!X$23:X$404,'Order Page'!N$23:N$404,0)</f>
        <v>0</v>
      </c>
      <c r="G8">
        <v>7</v>
      </c>
    </row>
    <row r="9" spans="1:10" x14ac:dyDescent="0.25">
      <c r="A9">
        <f t="shared" si="0"/>
        <v>0</v>
      </c>
      <c r="B9">
        <f t="shared" si="1"/>
        <v>0</v>
      </c>
      <c r="C9">
        <f>_xlfn.XLOOKUP(G9,'Order Page'!X$23:X$404,'Order Page'!U$23:U$404,0)</f>
        <v>0</v>
      </c>
      <c r="D9">
        <f>_xlfn.XLOOKUP(G9,'Order Page'!X$23:X$404,'Order Page'!N$23:N$404,0)</f>
        <v>0</v>
      </c>
      <c r="G9">
        <v>8</v>
      </c>
    </row>
    <row r="10" spans="1:10" x14ac:dyDescent="0.25">
      <c r="A10">
        <f t="shared" si="0"/>
        <v>0</v>
      </c>
      <c r="B10">
        <f t="shared" si="1"/>
        <v>0</v>
      </c>
      <c r="C10">
        <f>_xlfn.XLOOKUP(G10,'Order Page'!X$23:X$404,'Order Page'!U$23:U$404,0)</f>
        <v>0</v>
      </c>
      <c r="D10">
        <f>_xlfn.XLOOKUP(G10,'Order Page'!X$23:X$404,'Order Page'!N$23:N$404,0)</f>
        <v>0</v>
      </c>
      <c r="G10">
        <v>9</v>
      </c>
    </row>
    <row r="11" spans="1:10" x14ac:dyDescent="0.25">
      <c r="A11">
        <f t="shared" si="0"/>
        <v>0</v>
      </c>
      <c r="B11">
        <f t="shared" si="1"/>
        <v>0</v>
      </c>
      <c r="C11">
        <f>_xlfn.XLOOKUP(G11,'Order Page'!X$23:X$404,'Order Page'!U$23:U$404,0)</f>
        <v>0</v>
      </c>
      <c r="D11">
        <f>_xlfn.XLOOKUP(G11,'Order Page'!X$23:X$404,'Order Page'!N$23:N$404,0)</f>
        <v>0</v>
      </c>
      <c r="G11">
        <v>10</v>
      </c>
    </row>
    <row r="12" spans="1:10" x14ac:dyDescent="0.25">
      <c r="A12">
        <f t="shared" si="0"/>
        <v>0</v>
      </c>
      <c r="B12">
        <f t="shared" si="1"/>
        <v>0</v>
      </c>
      <c r="C12">
        <f>_xlfn.XLOOKUP(G12,'Order Page'!X$23:X$404,'Order Page'!U$23:U$404,0)</f>
        <v>0</v>
      </c>
      <c r="D12">
        <f>_xlfn.XLOOKUP(G12,'Order Page'!X$23:X$404,'Order Page'!N$23:N$404,0)</f>
        <v>0</v>
      </c>
      <c r="G12">
        <v>11</v>
      </c>
    </row>
    <row r="13" spans="1:10" x14ac:dyDescent="0.25">
      <c r="A13">
        <f t="shared" si="0"/>
        <v>0</v>
      </c>
      <c r="B13">
        <f t="shared" si="1"/>
        <v>0</v>
      </c>
      <c r="C13">
        <f>_xlfn.XLOOKUP(G13,'Order Page'!X$23:X$404,'Order Page'!U$23:U$404,0)</f>
        <v>0</v>
      </c>
      <c r="D13">
        <f>_xlfn.XLOOKUP(G13,'Order Page'!X$23:X$404,'Order Page'!N$23:N$404,0)</f>
        <v>0</v>
      </c>
      <c r="G13">
        <v>12</v>
      </c>
    </row>
    <row r="14" spans="1:10" x14ac:dyDescent="0.25">
      <c r="A14">
        <f t="shared" si="0"/>
        <v>0</v>
      </c>
      <c r="B14">
        <f t="shared" si="1"/>
        <v>0</v>
      </c>
      <c r="C14">
        <f>_xlfn.XLOOKUP(G14,'Order Page'!X$23:X$404,'Order Page'!U$23:U$404,0)</f>
        <v>0</v>
      </c>
      <c r="D14">
        <f>_xlfn.XLOOKUP(G14,'Order Page'!X$23:X$404,'Order Page'!N$23:N$404,0)</f>
        <v>0</v>
      </c>
      <c r="G14">
        <v>13</v>
      </c>
    </row>
    <row r="15" spans="1:10" x14ac:dyDescent="0.25">
      <c r="A15">
        <f t="shared" si="0"/>
        <v>0</v>
      </c>
      <c r="B15">
        <f t="shared" si="1"/>
        <v>0</v>
      </c>
      <c r="C15">
        <f>_xlfn.XLOOKUP(G15,'Order Page'!X$23:X$404,'Order Page'!U$23:U$404,0)</f>
        <v>0</v>
      </c>
      <c r="D15">
        <f>_xlfn.XLOOKUP(G15,'Order Page'!X$23:X$404,'Order Page'!N$23:N$404,0)</f>
        <v>0</v>
      </c>
      <c r="G15">
        <v>14</v>
      </c>
    </row>
    <row r="16" spans="1:10" x14ac:dyDescent="0.25">
      <c r="A16">
        <f t="shared" si="0"/>
        <v>0</v>
      </c>
      <c r="B16">
        <f t="shared" si="1"/>
        <v>0</v>
      </c>
      <c r="C16">
        <f>_xlfn.XLOOKUP(G16,'Order Page'!X$23:X$404,'Order Page'!U$23:U$404,0)</f>
        <v>0</v>
      </c>
      <c r="D16">
        <f>_xlfn.XLOOKUP(G16,'Order Page'!X$23:X$404,'Order Page'!N$23:N$404,0)</f>
        <v>0</v>
      </c>
      <c r="G16">
        <v>15</v>
      </c>
    </row>
    <row r="17" spans="1:7" x14ac:dyDescent="0.25">
      <c r="A17">
        <f t="shared" si="0"/>
        <v>0</v>
      </c>
      <c r="B17">
        <f t="shared" si="1"/>
        <v>0</v>
      </c>
      <c r="C17">
        <f>_xlfn.XLOOKUP(G17,'Order Page'!X$23:X$404,'Order Page'!U$23:U$404,0)</f>
        <v>0</v>
      </c>
      <c r="D17">
        <f>_xlfn.XLOOKUP(G17,'Order Page'!X$23:X$404,'Order Page'!N$23:N$404,0)</f>
        <v>0</v>
      </c>
      <c r="G17">
        <v>16</v>
      </c>
    </row>
    <row r="18" spans="1:7" x14ac:dyDescent="0.25">
      <c r="A18">
        <f t="shared" si="0"/>
        <v>0</v>
      </c>
      <c r="B18">
        <f t="shared" si="1"/>
        <v>0</v>
      </c>
      <c r="C18">
        <f>_xlfn.XLOOKUP(G18,'Order Page'!X$23:X$404,'Order Page'!U$23:U$404,0)</f>
        <v>0</v>
      </c>
      <c r="D18">
        <f>_xlfn.XLOOKUP(G18,'Order Page'!X$23:X$404,'Order Page'!N$23:N$404,0)</f>
        <v>0</v>
      </c>
      <c r="G18">
        <v>17</v>
      </c>
    </row>
    <row r="19" spans="1:7" x14ac:dyDescent="0.25">
      <c r="A19">
        <f t="shared" si="0"/>
        <v>0</v>
      </c>
      <c r="B19">
        <f t="shared" si="1"/>
        <v>0</v>
      </c>
      <c r="C19">
        <f>_xlfn.XLOOKUP(G19,'Order Page'!X$23:X$404,'Order Page'!U$23:U$404,0)</f>
        <v>0</v>
      </c>
      <c r="D19">
        <f>_xlfn.XLOOKUP(G19,'Order Page'!X$23:X$404,'Order Page'!N$23:N$404,0)</f>
        <v>0</v>
      </c>
      <c r="G19">
        <v>18</v>
      </c>
    </row>
    <row r="20" spans="1:7" x14ac:dyDescent="0.25">
      <c r="A20">
        <f t="shared" si="0"/>
        <v>0</v>
      </c>
      <c r="B20">
        <f t="shared" si="1"/>
        <v>0</v>
      </c>
      <c r="C20">
        <f>_xlfn.XLOOKUP(G20,'Order Page'!X$23:X$404,'Order Page'!U$23:U$404,0)</f>
        <v>0</v>
      </c>
      <c r="D20">
        <f>_xlfn.XLOOKUP(G20,'Order Page'!X$23:X$404,'Order Page'!N$23:N$404,0)</f>
        <v>0</v>
      </c>
      <c r="G20">
        <v>19</v>
      </c>
    </row>
    <row r="21" spans="1:7" x14ac:dyDescent="0.25">
      <c r="A21">
        <f t="shared" si="0"/>
        <v>0</v>
      </c>
      <c r="B21">
        <f t="shared" si="1"/>
        <v>0</v>
      </c>
      <c r="C21">
        <f>_xlfn.XLOOKUP(G21,'Order Page'!X$23:X$404,'Order Page'!U$23:U$404,0)</f>
        <v>0</v>
      </c>
      <c r="D21">
        <f>_xlfn.XLOOKUP(G21,'Order Page'!X$23:X$404,'Order Page'!N$23:N$404,0)</f>
        <v>0</v>
      </c>
      <c r="G21">
        <v>20</v>
      </c>
    </row>
    <row r="22" spans="1:7" x14ac:dyDescent="0.25">
      <c r="A22">
        <f t="shared" si="0"/>
        <v>0</v>
      </c>
      <c r="B22">
        <f t="shared" si="1"/>
        <v>0</v>
      </c>
      <c r="C22">
        <f>_xlfn.XLOOKUP(G22,'Order Page'!X$23:X$404,'Order Page'!U$23:U$404,0)</f>
        <v>0</v>
      </c>
      <c r="D22">
        <f>_xlfn.XLOOKUP(G22,'Order Page'!X$23:X$404,'Order Page'!N$23:N$404,0)</f>
        <v>0</v>
      </c>
      <c r="G22">
        <v>21</v>
      </c>
    </row>
    <row r="23" spans="1:7" x14ac:dyDescent="0.25">
      <c r="A23">
        <f t="shared" si="0"/>
        <v>0</v>
      </c>
      <c r="B23">
        <f t="shared" si="1"/>
        <v>0</v>
      </c>
      <c r="C23">
        <f>_xlfn.XLOOKUP(G23,'Order Page'!X$23:X$404,'Order Page'!U$23:U$404,0)</f>
        <v>0</v>
      </c>
      <c r="D23">
        <f>_xlfn.XLOOKUP(G23,'Order Page'!X$23:X$404,'Order Page'!N$23:N$404,0)</f>
        <v>0</v>
      </c>
      <c r="G23">
        <v>22</v>
      </c>
    </row>
    <row r="24" spans="1:7" x14ac:dyDescent="0.25">
      <c r="A24">
        <f t="shared" si="0"/>
        <v>0</v>
      </c>
      <c r="B24">
        <f t="shared" si="1"/>
        <v>0</v>
      </c>
      <c r="C24">
        <f>_xlfn.XLOOKUP(G24,'Order Page'!X$23:X$404,'Order Page'!U$23:U$404,0)</f>
        <v>0</v>
      </c>
      <c r="D24">
        <f>_xlfn.XLOOKUP(G24,'Order Page'!X$23:X$404,'Order Page'!N$23:N$404,0)</f>
        <v>0</v>
      </c>
      <c r="G24">
        <v>23</v>
      </c>
    </row>
    <row r="25" spans="1:7" x14ac:dyDescent="0.25">
      <c r="A25">
        <f t="shared" si="0"/>
        <v>0</v>
      </c>
      <c r="B25">
        <f t="shared" si="1"/>
        <v>0</v>
      </c>
      <c r="C25">
        <f>_xlfn.XLOOKUP(G25,'Order Page'!X$23:X$404,'Order Page'!U$23:U$404,0)</f>
        <v>0</v>
      </c>
      <c r="D25">
        <f>_xlfn.XLOOKUP(G25,'Order Page'!X$23:X$404,'Order Page'!N$23:N$404,0)</f>
        <v>0</v>
      </c>
      <c r="G25">
        <v>24</v>
      </c>
    </row>
    <row r="26" spans="1:7" x14ac:dyDescent="0.25">
      <c r="A26">
        <f t="shared" si="0"/>
        <v>0</v>
      </c>
      <c r="B26">
        <f t="shared" si="1"/>
        <v>0</v>
      </c>
      <c r="C26">
        <f>_xlfn.XLOOKUP(G26,'Order Page'!X$23:X$404,'Order Page'!U$23:U$404,0)</f>
        <v>0</v>
      </c>
      <c r="D26">
        <f>_xlfn.XLOOKUP(G26,'Order Page'!X$23:X$404,'Order Page'!N$23:N$404,0)</f>
        <v>0</v>
      </c>
      <c r="G26">
        <v>25</v>
      </c>
    </row>
    <row r="27" spans="1:7" x14ac:dyDescent="0.25">
      <c r="A27">
        <f t="shared" si="0"/>
        <v>0</v>
      </c>
      <c r="B27">
        <f t="shared" si="1"/>
        <v>0</v>
      </c>
      <c r="C27">
        <f>_xlfn.XLOOKUP(G27,'Order Page'!X$23:X$404,'Order Page'!U$23:U$404,0)</f>
        <v>0</v>
      </c>
      <c r="D27">
        <f>_xlfn.XLOOKUP(G27,'Order Page'!X$23:X$404,'Order Page'!N$23:N$404,0)</f>
        <v>0</v>
      </c>
      <c r="G27">
        <v>26</v>
      </c>
    </row>
    <row r="28" spans="1:7" x14ac:dyDescent="0.25">
      <c r="A28">
        <f t="shared" si="0"/>
        <v>0</v>
      </c>
      <c r="B28">
        <f t="shared" si="1"/>
        <v>0</v>
      </c>
      <c r="C28">
        <f>_xlfn.XLOOKUP(G28,'Order Page'!X$23:X$404,'Order Page'!U$23:U$404,0)</f>
        <v>0</v>
      </c>
      <c r="D28">
        <f>_xlfn.XLOOKUP(G28,'Order Page'!X$23:X$404,'Order Page'!N$23:N$404,0)</f>
        <v>0</v>
      </c>
      <c r="G28">
        <v>27</v>
      </c>
    </row>
    <row r="29" spans="1:7" x14ac:dyDescent="0.25">
      <c r="A29">
        <f t="shared" si="0"/>
        <v>0</v>
      </c>
      <c r="B29">
        <f t="shared" si="1"/>
        <v>0</v>
      </c>
      <c r="C29">
        <f>_xlfn.XLOOKUP(G29,'Order Page'!X$23:X$404,'Order Page'!U$23:U$404,0)</f>
        <v>0</v>
      </c>
      <c r="D29">
        <f>_xlfn.XLOOKUP(G29,'Order Page'!X$23:X$404,'Order Page'!N$23:N$404,0)</f>
        <v>0</v>
      </c>
      <c r="G29">
        <v>28</v>
      </c>
    </row>
    <row r="30" spans="1:7" x14ac:dyDescent="0.25">
      <c r="A30">
        <f t="shared" si="0"/>
        <v>0</v>
      </c>
      <c r="B30">
        <f t="shared" si="1"/>
        <v>0</v>
      </c>
      <c r="C30">
        <f>_xlfn.XLOOKUP(G30,'Order Page'!X$23:X$404,'Order Page'!U$23:U$404,0)</f>
        <v>0</v>
      </c>
      <c r="D30">
        <f>_xlfn.XLOOKUP(G30,'Order Page'!X$23:X$404,'Order Page'!N$23:N$404,0)</f>
        <v>0</v>
      </c>
      <c r="G30">
        <v>29</v>
      </c>
    </row>
    <row r="31" spans="1:7" x14ac:dyDescent="0.25">
      <c r="A31">
        <f t="shared" si="0"/>
        <v>0</v>
      </c>
      <c r="B31">
        <f t="shared" si="1"/>
        <v>0</v>
      </c>
      <c r="C31">
        <f>_xlfn.XLOOKUP(G31,'Order Page'!X$23:X$404,'Order Page'!U$23:U$404,0)</f>
        <v>0</v>
      </c>
      <c r="D31">
        <f>_xlfn.XLOOKUP(G31,'Order Page'!X$23:X$404,'Order Page'!N$23:N$404,0)</f>
        <v>0</v>
      </c>
      <c r="G31">
        <v>30</v>
      </c>
    </row>
    <row r="32" spans="1:7" x14ac:dyDescent="0.25">
      <c r="A32">
        <f t="shared" si="0"/>
        <v>0</v>
      </c>
      <c r="B32">
        <f t="shared" si="1"/>
        <v>0</v>
      </c>
      <c r="C32">
        <f>_xlfn.XLOOKUP(G32,'Order Page'!X$23:X$404,'Order Page'!U$23:U$404,0)</f>
        <v>0</v>
      </c>
      <c r="D32">
        <f>_xlfn.XLOOKUP(G32,'Order Page'!X$23:X$404,'Order Page'!N$23:N$404,0)</f>
        <v>0</v>
      </c>
      <c r="G32">
        <v>31</v>
      </c>
    </row>
    <row r="33" spans="1:7" x14ac:dyDescent="0.25">
      <c r="A33">
        <f t="shared" si="0"/>
        <v>0</v>
      </c>
      <c r="B33">
        <f t="shared" si="1"/>
        <v>0</v>
      </c>
      <c r="C33">
        <f>_xlfn.XLOOKUP(G33,'Order Page'!X$23:X$404,'Order Page'!U$23:U$404,0)</f>
        <v>0</v>
      </c>
      <c r="D33">
        <f>_xlfn.XLOOKUP(G33,'Order Page'!X$23:X$404,'Order Page'!N$23:N$404,0)</f>
        <v>0</v>
      </c>
      <c r="G33">
        <v>32</v>
      </c>
    </row>
    <row r="34" spans="1:7" x14ac:dyDescent="0.25">
      <c r="A34">
        <f t="shared" si="0"/>
        <v>0</v>
      </c>
      <c r="B34">
        <f t="shared" si="1"/>
        <v>0</v>
      </c>
      <c r="C34">
        <f>_xlfn.XLOOKUP(G34,'Order Page'!X$23:X$404,'Order Page'!U$23:U$404,0)</f>
        <v>0</v>
      </c>
      <c r="D34">
        <f>_xlfn.XLOOKUP(G34,'Order Page'!X$23:X$404,'Order Page'!N$23:N$404,0)</f>
        <v>0</v>
      </c>
      <c r="G34">
        <v>33</v>
      </c>
    </row>
    <row r="35" spans="1:7" x14ac:dyDescent="0.25">
      <c r="A35">
        <f t="shared" si="0"/>
        <v>0</v>
      </c>
      <c r="B35">
        <f t="shared" si="1"/>
        <v>0</v>
      </c>
      <c r="C35">
        <f>_xlfn.XLOOKUP(G35,'Order Page'!X$23:X$404,'Order Page'!U$23:U$404,0)</f>
        <v>0</v>
      </c>
      <c r="D35">
        <f>_xlfn.XLOOKUP(G35,'Order Page'!X$23:X$404,'Order Page'!N$23:N$404,0)</f>
        <v>0</v>
      </c>
      <c r="G35">
        <v>34</v>
      </c>
    </row>
    <row r="36" spans="1:7" x14ac:dyDescent="0.25">
      <c r="A36">
        <f t="shared" si="0"/>
        <v>0</v>
      </c>
      <c r="B36">
        <f t="shared" si="1"/>
        <v>0</v>
      </c>
      <c r="C36">
        <f>_xlfn.XLOOKUP(G36,'Order Page'!X$23:X$404,'Order Page'!U$23:U$404,0)</f>
        <v>0</v>
      </c>
      <c r="D36">
        <f>_xlfn.XLOOKUP(G36,'Order Page'!X$23:X$404,'Order Page'!N$23:N$404,0)</f>
        <v>0</v>
      </c>
      <c r="G36">
        <v>35</v>
      </c>
    </row>
    <row r="37" spans="1:7" x14ac:dyDescent="0.25">
      <c r="A37">
        <f t="shared" si="0"/>
        <v>0</v>
      </c>
      <c r="B37">
        <f t="shared" si="1"/>
        <v>0</v>
      </c>
      <c r="C37">
        <f>_xlfn.XLOOKUP(G37,'Order Page'!X$23:X$404,'Order Page'!U$23:U$404,0)</f>
        <v>0</v>
      </c>
      <c r="D37">
        <f>_xlfn.XLOOKUP(G37,'Order Page'!X$23:X$404,'Order Page'!N$23:N$404,0)</f>
        <v>0</v>
      </c>
      <c r="G37">
        <v>36</v>
      </c>
    </row>
    <row r="38" spans="1:7" x14ac:dyDescent="0.25">
      <c r="A38">
        <f t="shared" si="0"/>
        <v>0</v>
      </c>
      <c r="B38">
        <f t="shared" si="1"/>
        <v>0</v>
      </c>
      <c r="C38">
        <f>_xlfn.XLOOKUP(G38,'Order Page'!X$23:X$404,'Order Page'!U$23:U$404,0)</f>
        <v>0</v>
      </c>
      <c r="D38">
        <f>_xlfn.XLOOKUP(G38,'Order Page'!X$23:X$404,'Order Page'!N$23:N$404,0)</f>
        <v>0</v>
      </c>
      <c r="G38">
        <v>37</v>
      </c>
    </row>
    <row r="39" spans="1:7" x14ac:dyDescent="0.25">
      <c r="A39">
        <f t="shared" si="0"/>
        <v>0</v>
      </c>
      <c r="B39">
        <f t="shared" si="1"/>
        <v>0</v>
      </c>
      <c r="C39">
        <f>_xlfn.XLOOKUP(G39,'Order Page'!X$23:X$404,'Order Page'!U$23:U$404,0)</f>
        <v>0</v>
      </c>
      <c r="D39">
        <f>_xlfn.XLOOKUP(G39,'Order Page'!X$23:X$404,'Order Page'!N$23:N$404,0)</f>
        <v>0</v>
      </c>
      <c r="G39">
        <v>38</v>
      </c>
    </row>
    <row r="40" spans="1:7" x14ac:dyDescent="0.25">
      <c r="A40">
        <f t="shared" si="0"/>
        <v>0</v>
      </c>
      <c r="B40">
        <f t="shared" si="1"/>
        <v>0</v>
      </c>
      <c r="C40">
        <f>_xlfn.XLOOKUP(G40,'Order Page'!X$23:X$404,'Order Page'!U$23:U$404,0)</f>
        <v>0</v>
      </c>
      <c r="D40">
        <f>_xlfn.XLOOKUP(G40,'Order Page'!X$23:X$404,'Order Page'!N$23:N$404,0)</f>
        <v>0</v>
      </c>
      <c r="G40">
        <v>39</v>
      </c>
    </row>
    <row r="41" spans="1:7" x14ac:dyDescent="0.25">
      <c r="A41">
        <f t="shared" si="0"/>
        <v>0</v>
      </c>
      <c r="B41">
        <f t="shared" si="1"/>
        <v>0</v>
      </c>
      <c r="C41">
        <f>_xlfn.XLOOKUP(G41,'Order Page'!X$23:X$404,'Order Page'!U$23:U$404,0)</f>
        <v>0</v>
      </c>
      <c r="D41">
        <f>_xlfn.XLOOKUP(G41,'Order Page'!X$23:X$404,'Order Page'!N$23:N$404,0)</f>
        <v>0</v>
      </c>
      <c r="G41">
        <v>40</v>
      </c>
    </row>
    <row r="42" spans="1:7" x14ac:dyDescent="0.25">
      <c r="A42">
        <f t="shared" si="0"/>
        <v>0</v>
      </c>
      <c r="B42">
        <f t="shared" si="1"/>
        <v>0</v>
      </c>
      <c r="C42">
        <f>_xlfn.XLOOKUP(G42,'Order Page'!X$23:X$404,'Order Page'!U$23:U$404,0)</f>
        <v>0</v>
      </c>
      <c r="D42">
        <f>_xlfn.XLOOKUP(G42,'Order Page'!X$23:X$404,'Order Page'!N$23:N$404,0)</f>
        <v>0</v>
      </c>
      <c r="G42">
        <v>41</v>
      </c>
    </row>
    <row r="43" spans="1:7" x14ac:dyDescent="0.25">
      <c r="A43">
        <f t="shared" si="0"/>
        <v>0</v>
      </c>
      <c r="B43">
        <f t="shared" si="1"/>
        <v>0</v>
      </c>
      <c r="C43">
        <f>_xlfn.XLOOKUP(G43,'Order Page'!X$23:X$404,'Order Page'!U$23:U$404,0)</f>
        <v>0</v>
      </c>
      <c r="D43">
        <f>_xlfn.XLOOKUP(G43,'Order Page'!X$23:X$404,'Order Page'!N$23:N$404,0)</f>
        <v>0</v>
      </c>
      <c r="G43">
        <v>42</v>
      </c>
    </row>
    <row r="44" spans="1:7" x14ac:dyDescent="0.25">
      <c r="A44">
        <f t="shared" si="0"/>
        <v>0</v>
      </c>
      <c r="B44">
        <f t="shared" si="1"/>
        <v>0</v>
      </c>
      <c r="C44">
        <f>_xlfn.XLOOKUP(G44,'Order Page'!X$23:X$404,'Order Page'!U$23:U$404,0)</f>
        <v>0</v>
      </c>
      <c r="D44">
        <f>_xlfn.XLOOKUP(G44,'Order Page'!X$23:X$404,'Order Page'!N$23:N$404,0)</f>
        <v>0</v>
      </c>
      <c r="G44">
        <v>43</v>
      </c>
    </row>
    <row r="45" spans="1:7" x14ac:dyDescent="0.25">
      <c r="A45">
        <f t="shared" si="0"/>
        <v>0</v>
      </c>
      <c r="B45">
        <f t="shared" si="1"/>
        <v>0</v>
      </c>
      <c r="C45">
        <f>_xlfn.XLOOKUP(G45,'Order Page'!X$23:X$404,'Order Page'!U$23:U$404,0)</f>
        <v>0</v>
      </c>
      <c r="D45">
        <f>_xlfn.XLOOKUP(G45,'Order Page'!X$23:X$404,'Order Page'!N$23:N$404,0)</f>
        <v>0</v>
      </c>
      <c r="G45">
        <v>44</v>
      </c>
    </row>
    <row r="46" spans="1:7" x14ac:dyDescent="0.25">
      <c r="A46">
        <f t="shared" si="0"/>
        <v>0</v>
      </c>
      <c r="B46">
        <f t="shared" si="1"/>
        <v>0</v>
      </c>
      <c r="C46">
        <f>_xlfn.XLOOKUP(G46,'Order Page'!X$23:X$404,'Order Page'!U$23:U$404,0)</f>
        <v>0</v>
      </c>
      <c r="D46">
        <f>_xlfn.XLOOKUP(G46,'Order Page'!X$23:X$404,'Order Page'!N$23:N$404,0)</f>
        <v>0</v>
      </c>
      <c r="G46">
        <v>45</v>
      </c>
    </row>
    <row r="47" spans="1:7" x14ac:dyDescent="0.25">
      <c r="A47">
        <f t="shared" si="0"/>
        <v>0</v>
      </c>
      <c r="B47">
        <f t="shared" si="1"/>
        <v>0</v>
      </c>
      <c r="C47">
        <f>_xlfn.XLOOKUP(G47,'Order Page'!X$23:X$404,'Order Page'!U$23:U$404,0)</f>
        <v>0</v>
      </c>
      <c r="D47">
        <f>_xlfn.XLOOKUP(G47,'Order Page'!X$23:X$404,'Order Page'!N$23:N$404,0)</f>
        <v>0</v>
      </c>
      <c r="G47">
        <v>46</v>
      </c>
    </row>
    <row r="48" spans="1:7" x14ac:dyDescent="0.25">
      <c r="A48">
        <f t="shared" si="0"/>
        <v>0</v>
      </c>
      <c r="B48">
        <f t="shared" si="1"/>
        <v>0</v>
      </c>
      <c r="C48">
        <f>_xlfn.XLOOKUP(G48,'Order Page'!X$23:X$404,'Order Page'!U$23:U$404,0)</f>
        <v>0</v>
      </c>
      <c r="D48">
        <f>_xlfn.XLOOKUP(G48,'Order Page'!X$23:X$404,'Order Page'!N$23:N$404,0)</f>
        <v>0</v>
      </c>
      <c r="G48">
        <v>47</v>
      </c>
    </row>
    <row r="49" spans="1:7" x14ac:dyDescent="0.25">
      <c r="A49">
        <f t="shared" si="0"/>
        <v>0</v>
      </c>
      <c r="B49">
        <f t="shared" si="1"/>
        <v>0</v>
      </c>
      <c r="C49">
        <f>_xlfn.XLOOKUP(G49,'Order Page'!X$23:X$404,'Order Page'!U$23:U$404,0)</f>
        <v>0</v>
      </c>
      <c r="D49">
        <f>_xlfn.XLOOKUP(G49,'Order Page'!X$23:X$404,'Order Page'!N$23:N$404,0)</f>
        <v>0</v>
      </c>
      <c r="G49">
        <v>48</v>
      </c>
    </row>
    <row r="50" spans="1:7" x14ac:dyDescent="0.25">
      <c r="A50">
        <f t="shared" si="0"/>
        <v>0</v>
      </c>
      <c r="B50">
        <f t="shared" si="1"/>
        <v>0</v>
      </c>
      <c r="C50">
        <f>_xlfn.XLOOKUP(G50,'Order Page'!X$23:X$404,'Order Page'!U$23:U$404,0)</f>
        <v>0</v>
      </c>
      <c r="D50">
        <f>_xlfn.XLOOKUP(G50,'Order Page'!X$23:X$404,'Order Page'!N$23:N$404,0)</f>
        <v>0</v>
      </c>
      <c r="G50">
        <v>49</v>
      </c>
    </row>
    <row r="51" spans="1:7" x14ac:dyDescent="0.25">
      <c r="A51">
        <f t="shared" si="0"/>
        <v>0</v>
      </c>
      <c r="B51">
        <f t="shared" si="1"/>
        <v>0</v>
      </c>
      <c r="C51">
        <f>_xlfn.XLOOKUP(G51,'Order Page'!X$23:X$404,'Order Page'!U$23:U$404,0)</f>
        <v>0</v>
      </c>
      <c r="D51">
        <f>_xlfn.XLOOKUP(G51,'Order Page'!X$23:X$404,'Order Page'!N$23:N$404,0)</f>
        <v>0</v>
      </c>
      <c r="G51">
        <v>50</v>
      </c>
    </row>
    <row r="52" spans="1:7" x14ac:dyDescent="0.25">
      <c r="A52">
        <f t="shared" si="0"/>
        <v>0</v>
      </c>
      <c r="B52">
        <f t="shared" si="1"/>
        <v>0</v>
      </c>
      <c r="C52">
        <f>_xlfn.XLOOKUP(G52,'Order Page'!X$23:X$404,'Order Page'!U$23:U$404,0)</f>
        <v>0</v>
      </c>
      <c r="D52">
        <f>_xlfn.XLOOKUP(G52,'Order Page'!X$23:X$404,'Order Page'!N$23:N$404,0)</f>
        <v>0</v>
      </c>
      <c r="G52">
        <v>51</v>
      </c>
    </row>
    <row r="53" spans="1:7" x14ac:dyDescent="0.25">
      <c r="A53">
        <f t="shared" si="0"/>
        <v>0</v>
      </c>
      <c r="B53">
        <f t="shared" si="1"/>
        <v>0</v>
      </c>
      <c r="C53">
        <f>_xlfn.XLOOKUP(G53,'Order Page'!X$23:X$404,'Order Page'!U$23:U$404,0)</f>
        <v>0</v>
      </c>
      <c r="D53">
        <f>_xlfn.XLOOKUP(G53,'Order Page'!X$23:X$404,'Order Page'!N$23:N$404,0)</f>
        <v>0</v>
      </c>
      <c r="G53">
        <v>52</v>
      </c>
    </row>
    <row r="54" spans="1:7" x14ac:dyDescent="0.25">
      <c r="A54">
        <f t="shared" si="0"/>
        <v>0</v>
      </c>
      <c r="B54">
        <f t="shared" si="1"/>
        <v>0</v>
      </c>
      <c r="C54">
        <f>_xlfn.XLOOKUP(G54,'Order Page'!X$23:X$404,'Order Page'!U$23:U$404,0)</f>
        <v>0</v>
      </c>
      <c r="D54">
        <f>_xlfn.XLOOKUP(G54,'Order Page'!X$23:X$404,'Order Page'!N$23:N$404,0)</f>
        <v>0</v>
      </c>
      <c r="G54">
        <v>53</v>
      </c>
    </row>
    <row r="55" spans="1:7" x14ac:dyDescent="0.25">
      <c r="A55">
        <f t="shared" si="0"/>
        <v>0</v>
      </c>
      <c r="B55">
        <f t="shared" si="1"/>
        <v>0</v>
      </c>
      <c r="C55">
        <f>_xlfn.XLOOKUP(G55,'Order Page'!X$23:X$404,'Order Page'!U$23:U$404,0)</f>
        <v>0</v>
      </c>
      <c r="D55">
        <f>_xlfn.XLOOKUP(G55,'Order Page'!X$23:X$404,'Order Page'!N$23:N$404,0)</f>
        <v>0</v>
      </c>
      <c r="G55">
        <v>54</v>
      </c>
    </row>
    <row r="56" spans="1:7" x14ac:dyDescent="0.25">
      <c r="A56">
        <f t="shared" si="0"/>
        <v>0</v>
      </c>
      <c r="B56">
        <f t="shared" si="1"/>
        <v>0</v>
      </c>
      <c r="C56">
        <f>_xlfn.XLOOKUP(G56,'Order Page'!X$23:X$404,'Order Page'!U$23:U$404,0)</f>
        <v>0</v>
      </c>
      <c r="D56">
        <f>_xlfn.XLOOKUP(G56,'Order Page'!X$23:X$404,'Order Page'!N$23:N$404,0)</f>
        <v>0</v>
      </c>
      <c r="G56">
        <v>55</v>
      </c>
    </row>
    <row r="57" spans="1:7" x14ac:dyDescent="0.25">
      <c r="A57">
        <f t="shared" si="0"/>
        <v>0</v>
      </c>
      <c r="B57">
        <f t="shared" si="1"/>
        <v>0</v>
      </c>
      <c r="C57">
        <f>_xlfn.XLOOKUP(G57,'Order Page'!X$23:X$404,'Order Page'!U$23:U$404,0)</f>
        <v>0</v>
      </c>
      <c r="D57">
        <f>_xlfn.XLOOKUP(G57,'Order Page'!X$23:X$404,'Order Page'!N$23:N$404,0)</f>
        <v>0</v>
      </c>
      <c r="G57">
        <v>56</v>
      </c>
    </row>
    <row r="58" spans="1:7" x14ac:dyDescent="0.25">
      <c r="A58">
        <f t="shared" si="0"/>
        <v>0</v>
      </c>
      <c r="B58">
        <f t="shared" si="1"/>
        <v>0</v>
      </c>
      <c r="C58">
        <f>_xlfn.XLOOKUP(G58,'Order Page'!X$23:X$404,'Order Page'!U$23:U$404,0)</f>
        <v>0</v>
      </c>
      <c r="D58">
        <f>_xlfn.XLOOKUP(G58,'Order Page'!X$23:X$404,'Order Page'!N$23:N$404,0)</f>
        <v>0</v>
      </c>
      <c r="G58">
        <v>57</v>
      </c>
    </row>
    <row r="59" spans="1:7" x14ac:dyDescent="0.25">
      <c r="A59">
        <f t="shared" si="0"/>
        <v>0</v>
      </c>
      <c r="B59">
        <f t="shared" si="1"/>
        <v>0</v>
      </c>
      <c r="C59">
        <f>_xlfn.XLOOKUP(G59,'Order Page'!X$23:X$404,'Order Page'!U$23:U$404,0)</f>
        <v>0</v>
      </c>
      <c r="D59">
        <f>_xlfn.XLOOKUP(G59,'Order Page'!X$23:X$404,'Order Page'!N$23:N$404,0)</f>
        <v>0</v>
      </c>
      <c r="G59">
        <v>58</v>
      </c>
    </row>
    <row r="60" spans="1:7" x14ac:dyDescent="0.25">
      <c r="A60">
        <f t="shared" si="0"/>
        <v>0</v>
      </c>
      <c r="B60">
        <f t="shared" si="1"/>
        <v>0</v>
      </c>
      <c r="C60">
        <f>_xlfn.XLOOKUP(G60,'Order Page'!X$23:X$404,'Order Page'!U$23:U$404,0)</f>
        <v>0</v>
      </c>
      <c r="D60">
        <f>_xlfn.XLOOKUP(G60,'Order Page'!X$23:X$404,'Order Page'!N$23:N$404,0)</f>
        <v>0</v>
      </c>
      <c r="G60">
        <v>59</v>
      </c>
    </row>
    <row r="61" spans="1:7" x14ac:dyDescent="0.25">
      <c r="A61">
        <f t="shared" si="0"/>
        <v>0</v>
      </c>
      <c r="B61">
        <f t="shared" si="1"/>
        <v>0</v>
      </c>
      <c r="C61">
        <f>_xlfn.XLOOKUP(G61,'Order Page'!X$23:X$404,'Order Page'!U$23:U$404,0)</f>
        <v>0</v>
      </c>
      <c r="D61">
        <f>_xlfn.XLOOKUP(G61,'Order Page'!X$23:X$404,'Order Page'!N$23:N$404,0)</f>
        <v>0</v>
      </c>
      <c r="G61">
        <v>60</v>
      </c>
    </row>
    <row r="62" spans="1:7" x14ac:dyDescent="0.25">
      <c r="A62">
        <f t="shared" si="0"/>
        <v>0</v>
      </c>
      <c r="B62">
        <f t="shared" si="1"/>
        <v>0</v>
      </c>
      <c r="C62">
        <f>_xlfn.XLOOKUP(G62,'Order Page'!X$23:X$404,'Order Page'!U$23:U$404,0)</f>
        <v>0</v>
      </c>
      <c r="D62">
        <f>_xlfn.XLOOKUP(G62,'Order Page'!X$23:X$404,'Order Page'!N$23:N$404,0)</f>
        <v>0</v>
      </c>
      <c r="G62">
        <v>61</v>
      </c>
    </row>
    <row r="63" spans="1:7" x14ac:dyDescent="0.25">
      <c r="A63">
        <f t="shared" si="0"/>
        <v>0</v>
      </c>
      <c r="B63">
        <f t="shared" si="1"/>
        <v>0</v>
      </c>
      <c r="C63">
        <f>_xlfn.XLOOKUP(G63,'Order Page'!X$23:X$404,'Order Page'!U$23:U$404,0)</f>
        <v>0</v>
      </c>
      <c r="D63">
        <f>_xlfn.XLOOKUP(G63,'Order Page'!X$23:X$404,'Order Page'!N$23:N$404,0)</f>
        <v>0</v>
      </c>
      <c r="G63">
        <v>62</v>
      </c>
    </row>
    <row r="64" spans="1:7" x14ac:dyDescent="0.25">
      <c r="A64">
        <f t="shared" si="0"/>
        <v>0</v>
      </c>
      <c r="B64">
        <f t="shared" si="1"/>
        <v>0</v>
      </c>
      <c r="C64">
        <f>_xlfn.XLOOKUP(G64,'Order Page'!X$23:X$404,'Order Page'!U$23:U$404,0)</f>
        <v>0</v>
      </c>
      <c r="D64">
        <f>_xlfn.XLOOKUP(G64,'Order Page'!X$23:X$404,'Order Page'!N$23:N$404,0)</f>
        <v>0</v>
      </c>
      <c r="G64">
        <v>63</v>
      </c>
    </row>
    <row r="65" spans="1:7" x14ac:dyDescent="0.25">
      <c r="A65">
        <f t="shared" si="0"/>
        <v>0</v>
      </c>
      <c r="B65">
        <f t="shared" si="1"/>
        <v>0</v>
      </c>
      <c r="C65">
        <f>_xlfn.XLOOKUP(G65,'Order Page'!X$23:X$404,'Order Page'!U$23:U$404,0)</f>
        <v>0</v>
      </c>
      <c r="D65">
        <f>_xlfn.XLOOKUP(G65,'Order Page'!X$23:X$404,'Order Page'!N$23:N$404,0)</f>
        <v>0</v>
      </c>
      <c r="G65">
        <v>64</v>
      </c>
    </row>
    <row r="66" spans="1:7" x14ac:dyDescent="0.25">
      <c r="A66">
        <f t="shared" si="0"/>
        <v>0</v>
      </c>
      <c r="B66">
        <f t="shared" si="1"/>
        <v>0</v>
      </c>
      <c r="C66">
        <f>_xlfn.XLOOKUP(G66,'Order Page'!X$23:X$404,'Order Page'!U$23:U$404,0)</f>
        <v>0</v>
      </c>
      <c r="D66">
        <f>_xlfn.XLOOKUP(G66,'Order Page'!X$23:X$404,'Order Page'!N$23:N$404,0)</f>
        <v>0</v>
      </c>
      <c r="G66">
        <v>65</v>
      </c>
    </row>
    <row r="67" spans="1:7" x14ac:dyDescent="0.25">
      <c r="A67">
        <f t="shared" ref="A67:A130" si="2">I$1</f>
        <v>0</v>
      </c>
      <c r="B67">
        <f t="shared" ref="B67:B130" si="3">I$2</f>
        <v>0</v>
      </c>
      <c r="C67">
        <f>_xlfn.XLOOKUP(G67,'Order Page'!X$23:X$404,'Order Page'!U$23:U$404,0)</f>
        <v>0</v>
      </c>
      <c r="D67">
        <f>_xlfn.XLOOKUP(G67,'Order Page'!X$23:X$404,'Order Page'!N$23:N$404,0)</f>
        <v>0</v>
      </c>
      <c r="G67">
        <v>66</v>
      </c>
    </row>
    <row r="68" spans="1:7" x14ac:dyDescent="0.25">
      <c r="A68">
        <f t="shared" si="2"/>
        <v>0</v>
      </c>
      <c r="B68">
        <f t="shared" si="3"/>
        <v>0</v>
      </c>
      <c r="C68">
        <f>_xlfn.XLOOKUP(G68,'Order Page'!X$23:X$404,'Order Page'!U$23:U$404,0)</f>
        <v>0</v>
      </c>
      <c r="D68">
        <f>_xlfn.XLOOKUP(G68,'Order Page'!X$23:X$404,'Order Page'!N$23:N$404,0)</f>
        <v>0</v>
      </c>
      <c r="G68">
        <v>67</v>
      </c>
    </row>
    <row r="69" spans="1:7" x14ac:dyDescent="0.25">
      <c r="A69">
        <f t="shared" si="2"/>
        <v>0</v>
      </c>
      <c r="B69">
        <f t="shared" si="3"/>
        <v>0</v>
      </c>
      <c r="C69">
        <f>_xlfn.XLOOKUP(G69,'Order Page'!X$23:X$404,'Order Page'!U$23:U$404,0)</f>
        <v>0</v>
      </c>
      <c r="D69">
        <f>_xlfn.XLOOKUP(G69,'Order Page'!X$23:X$404,'Order Page'!N$23:N$404,0)</f>
        <v>0</v>
      </c>
      <c r="G69">
        <v>68</v>
      </c>
    </row>
    <row r="70" spans="1:7" x14ac:dyDescent="0.25">
      <c r="A70">
        <f t="shared" si="2"/>
        <v>0</v>
      </c>
      <c r="B70">
        <f t="shared" si="3"/>
        <v>0</v>
      </c>
      <c r="C70">
        <f>_xlfn.XLOOKUP(G70,'Order Page'!X$23:X$404,'Order Page'!U$23:U$404,0)</f>
        <v>0</v>
      </c>
      <c r="D70">
        <f>_xlfn.XLOOKUP(G70,'Order Page'!X$23:X$404,'Order Page'!N$23:N$404,0)</f>
        <v>0</v>
      </c>
      <c r="G70">
        <v>69</v>
      </c>
    </row>
    <row r="71" spans="1:7" x14ac:dyDescent="0.25">
      <c r="A71">
        <f t="shared" si="2"/>
        <v>0</v>
      </c>
      <c r="B71">
        <f t="shared" si="3"/>
        <v>0</v>
      </c>
      <c r="C71">
        <f>_xlfn.XLOOKUP(G71,'Order Page'!X$23:X$404,'Order Page'!U$23:U$404,0)</f>
        <v>0</v>
      </c>
      <c r="D71">
        <f>_xlfn.XLOOKUP(G71,'Order Page'!X$23:X$404,'Order Page'!N$23:N$404,0)</f>
        <v>0</v>
      </c>
      <c r="G71">
        <v>70</v>
      </c>
    </row>
    <row r="72" spans="1:7" x14ac:dyDescent="0.25">
      <c r="A72">
        <f t="shared" si="2"/>
        <v>0</v>
      </c>
      <c r="B72">
        <f t="shared" si="3"/>
        <v>0</v>
      </c>
      <c r="C72">
        <f>_xlfn.XLOOKUP(G72,'Order Page'!X$23:X$404,'Order Page'!U$23:U$404,0)</f>
        <v>0</v>
      </c>
      <c r="D72">
        <f>_xlfn.XLOOKUP(G72,'Order Page'!X$23:X$404,'Order Page'!N$23:N$404,0)</f>
        <v>0</v>
      </c>
      <c r="G72">
        <v>71</v>
      </c>
    </row>
    <row r="73" spans="1:7" x14ac:dyDescent="0.25">
      <c r="A73">
        <f t="shared" si="2"/>
        <v>0</v>
      </c>
      <c r="B73">
        <f t="shared" si="3"/>
        <v>0</v>
      </c>
      <c r="C73">
        <f>_xlfn.XLOOKUP(G73,'Order Page'!X$23:X$404,'Order Page'!U$23:U$404,0)</f>
        <v>0</v>
      </c>
      <c r="D73">
        <f>_xlfn.XLOOKUP(G73,'Order Page'!X$23:X$404,'Order Page'!N$23:N$404,0)</f>
        <v>0</v>
      </c>
      <c r="G73">
        <v>72</v>
      </c>
    </row>
    <row r="74" spans="1:7" x14ac:dyDescent="0.25">
      <c r="A74">
        <f t="shared" si="2"/>
        <v>0</v>
      </c>
      <c r="B74">
        <f t="shared" si="3"/>
        <v>0</v>
      </c>
      <c r="C74">
        <f>_xlfn.XLOOKUP(G74,'Order Page'!X$23:X$404,'Order Page'!U$23:U$404,0)</f>
        <v>0</v>
      </c>
      <c r="D74">
        <f>_xlfn.XLOOKUP(G74,'Order Page'!X$23:X$404,'Order Page'!N$23:N$404,0)</f>
        <v>0</v>
      </c>
      <c r="G74">
        <v>73</v>
      </c>
    </row>
    <row r="75" spans="1:7" x14ac:dyDescent="0.25">
      <c r="A75">
        <f t="shared" si="2"/>
        <v>0</v>
      </c>
      <c r="B75">
        <f t="shared" si="3"/>
        <v>0</v>
      </c>
      <c r="C75">
        <f>_xlfn.XLOOKUP(G75,'Order Page'!X$23:X$404,'Order Page'!U$23:U$404,0)</f>
        <v>0</v>
      </c>
      <c r="D75">
        <f>_xlfn.XLOOKUP(G75,'Order Page'!X$23:X$404,'Order Page'!N$23:N$404,0)</f>
        <v>0</v>
      </c>
      <c r="G75">
        <v>74</v>
      </c>
    </row>
    <row r="76" spans="1:7" x14ac:dyDescent="0.25">
      <c r="A76">
        <f t="shared" si="2"/>
        <v>0</v>
      </c>
      <c r="B76">
        <f t="shared" si="3"/>
        <v>0</v>
      </c>
      <c r="C76">
        <f>_xlfn.XLOOKUP(G76,'Order Page'!X$23:X$404,'Order Page'!U$23:U$404,0)</f>
        <v>0</v>
      </c>
      <c r="D76">
        <f>_xlfn.XLOOKUP(G76,'Order Page'!X$23:X$404,'Order Page'!N$23:N$404,0)</f>
        <v>0</v>
      </c>
      <c r="G76">
        <v>75</v>
      </c>
    </row>
    <row r="77" spans="1:7" x14ac:dyDescent="0.25">
      <c r="A77">
        <f t="shared" si="2"/>
        <v>0</v>
      </c>
      <c r="B77">
        <f t="shared" si="3"/>
        <v>0</v>
      </c>
      <c r="C77">
        <f>_xlfn.XLOOKUP(G77,'Order Page'!X$23:X$404,'Order Page'!U$23:U$404,0)</f>
        <v>0</v>
      </c>
      <c r="D77">
        <f>_xlfn.XLOOKUP(G77,'Order Page'!X$23:X$404,'Order Page'!N$23:N$404,0)</f>
        <v>0</v>
      </c>
      <c r="G77">
        <v>76</v>
      </c>
    </row>
    <row r="78" spans="1:7" x14ac:dyDescent="0.25">
      <c r="A78">
        <f t="shared" si="2"/>
        <v>0</v>
      </c>
      <c r="B78">
        <f t="shared" si="3"/>
        <v>0</v>
      </c>
      <c r="C78">
        <f>_xlfn.XLOOKUP(G78,'Order Page'!X$23:X$404,'Order Page'!U$23:U$404,0)</f>
        <v>0</v>
      </c>
      <c r="D78">
        <f>_xlfn.XLOOKUP(G78,'Order Page'!X$23:X$404,'Order Page'!N$23:N$404,0)</f>
        <v>0</v>
      </c>
      <c r="G78">
        <v>77</v>
      </c>
    </row>
    <row r="79" spans="1:7" x14ac:dyDescent="0.25">
      <c r="A79">
        <f t="shared" si="2"/>
        <v>0</v>
      </c>
      <c r="B79">
        <f t="shared" si="3"/>
        <v>0</v>
      </c>
      <c r="C79">
        <f>_xlfn.XLOOKUP(G79,'Order Page'!X$23:X$404,'Order Page'!U$23:U$404,0)</f>
        <v>0</v>
      </c>
      <c r="D79">
        <f>_xlfn.XLOOKUP(G79,'Order Page'!X$23:X$404,'Order Page'!N$23:N$404,0)</f>
        <v>0</v>
      </c>
      <c r="G79">
        <v>78</v>
      </c>
    </row>
    <row r="80" spans="1:7" x14ac:dyDescent="0.25">
      <c r="A80">
        <f t="shared" si="2"/>
        <v>0</v>
      </c>
      <c r="B80">
        <f t="shared" si="3"/>
        <v>0</v>
      </c>
      <c r="C80">
        <f>_xlfn.XLOOKUP(G80,'Order Page'!X$23:X$404,'Order Page'!U$23:U$404,0)</f>
        <v>0</v>
      </c>
      <c r="D80">
        <f>_xlfn.XLOOKUP(G80,'Order Page'!X$23:X$404,'Order Page'!N$23:N$404,0)</f>
        <v>0</v>
      </c>
      <c r="G80">
        <v>79</v>
      </c>
    </row>
    <row r="81" spans="1:7" x14ac:dyDescent="0.25">
      <c r="A81">
        <f t="shared" si="2"/>
        <v>0</v>
      </c>
      <c r="B81">
        <f t="shared" si="3"/>
        <v>0</v>
      </c>
      <c r="C81">
        <f>_xlfn.XLOOKUP(G81,'Order Page'!X$23:X$404,'Order Page'!U$23:U$404,0)</f>
        <v>0</v>
      </c>
      <c r="D81">
        <f>_xlfn.XLOOKUP(G81,'Order Page'!X$23:X$404,'Order Page'!N$23:N$404,0)</f>
        <v>0</v>
      </c>
      <c r="G81">
        <v>80</v>
      </c>
    </row>
    <row r="82" spans="1:7" x14ac:dyDescent="0.25">
      <c r="A82">
        <f t="shared" si="2"/>
        <v>0</v>
      </c>
      <c r="B82">
        <f t="shared" si="3"/>
        <v>0</v>
      </c>
      <c r="C82">
        <f>_xlfn.XLOOKUP(G82,'Order Page'!X$23:X$404,'Order Page'!U$23:U$404,0)</f>
        <v>0</v>
      </c>
      <c r="D82">
        <f>_xlfn.XLOOKUP(G82,'Order Page'!X$23:X$404,'Order Page'!N$23:N$404,0)</f>
        <v>0</v>
      </c>
      <c r="G82">
        <v>81</v>
      </c>
    </row>
    <row r="83" spans="1:7" x14ac:dyDescent="0.25">
      <c r="A83">
        <f t="shared" si="2"/>
        <v>0</v>
      </c>
      <c r="B83">
        <f t="shared" si="3"/>
        <v>0</v>
      </c>
      <c r="C83">
        <f>_xlfn.XLOOKUP(G83,'Order Page'!X$23:X$404,'Order Page'!U$23:U$404,0)</f>
        <v>0</v>
      </c>
      <c r="D83">
        <f>_xlfn.XLOOKUP(G83,'Order Page'!X$23:X$404,'Order Page'!N$23:N$404,0)</f>
        <v>0</v>
      </c>
      <c r="G83">
        <v>82</v>
      </c>
    </row>
    <row r="84" spans="1:7" x14ac:dyDescent="0.25">
      <c r="A84">
        <f t="shared" si="2"/>
        <v>0</v>
      </c>
      <c r="B84">
        <f t="shared" si="3"/>
        <v>0</v>
      </c>
      <c r="C84">
        <f>_xlfn.XLOOKUP(G84,'Order Page'!X$23:X$404,'Order Page'!U$23:U$404,0)</f>
        <v>0</v>
      </c>
      <c r="D84">
        <f>_xlfn.XLOOKUP(G84,'Order Page'!X$23:X$404,'Order Page'!N$23:N$404,0)</f>
        <v>0</v>
      </c>
      <c r="G84">
        <v>83</v>
      </c>
    </row>
    <row r="85" spans="1:7" x14ac:dyDescent="0.25">
      <c r="A85">
        <f t="shared" si="2"/>
        <v>0</v>
      </c>
      <c r="B85">
        <f t="shared" si="3"/>
        <v>0</v>
      </c>
      <c r="C85">
        <f>_xlfn.XLOOKUP(G85,'Order Page'!X$23:X$404,'Order Page'!U$23:U$404,0)</f>
        <v>0</v>
      </c>
      <c r="D85">
        <f>_xlfn.XLOOKUP(G85,'Order Page'!X$23:X$404,'Order Page'!N$23:N$404,0)</f>
        <v>0</v>
      </c>
      <c r="G85">
        <v>84</v>
      </c>
    </row>
    <row r="86" spans="1:7" x14ac:dyDescent="0.25">
      <c r="A86">
        <f t="shared" si="2"/>
        <v>0</v>
      </c>
      <c r="B86">
        <f t="shared" si="3"/>
        <v>0</v>
      </c>
      <c r="C86">
        <f>_xlfn.XLOOKUP(G86,'Order Page'!X$23:X$404,'Order Page'!U$23:U$404,0)</f>
        <v>0</v>
      </c>
      <c r="D86">
        <f>_xlfn.XLOOKUP(G86,'Order Page'!X$23:X$404,'Order Page'!N$23:N$404,0)</f>
        <v>0</v>
      </c>
      <c r="G86">
        <v>85</v>
      </c>
    </row>
    <row r="87" spans="1:7" x14ac:dyDescent="0.25">
      <c r="A87">
        <f t="shared" si="2"/>
        <v>0</v>
      </c>
      <c r="B87">
        <f t="shared" si="3"/>
        <v>0</v>
      </c>
      <c r="C87">
        <f>_xlfn.XLOOKUP(G87,'Order Page'!X$23:X$404,'Order Page'!U$23:U$404,0)</f>
        <v>0</v>
      </c>
      <c r="D87">
        <f>_xlfn.XLOOKUP(G87,'Order Page'!X$23:X$404,'Order Page'!N$23:N$404,0)</f>
        <v>0</v>
      </c>
      <c r="G87">
        <v>86</v>
      </c>
    </row>
    <row r="88" spans="1:7" x14ac:dyDescent="0.25">
      <c r="A88">
        <f t="shared" si="2"/>
        <v>0</v>
      </c>
      <c r="B88">
        <f t="shared" si="3"/>
        <v>0</v>
      </c>
      <c r="C88">
        <f>_xlfn.XLOOKUP(G88,'Order Page'!X$23:X$404,'Order Page'!U$23:U$404,0)</f>
        <v>0</v>
      </c>
      <c r="D88">
        <f>_xlfn.XLOOKUP(G88,'Order Page'!X$23:X$404,'Order Page'!N$23:N$404,0)</f>
        <v>0</v>
      </c>
      <c r="G88">
        <v>87</v>
      </c>
    </row>
    <row r="89" spans="1:7" x14ac:dyDescent="0.25">
      <c r="A89">
        <f t="shared" si="2"/>
        <v>0</v>
      </c>
      <c r="B89">
        <f t="shared" si="3"/>
        <v>0</v>
      </c>
      <c r="C89">
        <f>_xlfn.XLOOKUP(G89,'Order Page'!X$23:X$404,'Order Page'!U$23:U$404,0)</f>
        <v>0</v>
      </c>
      <c r="D89">
        <f>_xlfn.XLOOKUP(G89,'Order Page'!X$23:X$404,'Order Page'!N$23:N$404,0)</f>
        <v>0</v>
      </c>
      <c r="G89">
        <v>88</v>
      </c>
    </row>
    <row r="90" spans="1:7" x14ac:dyDescent="0.25">
      <c r="A90">
        <f t="shared" si="2"/>
        <v>0</v>
      </c>
      <c r="B90">
        <f t="shared" si="3"/>
        <v>0</v>
      </c>
      <c r="C90">
        <f>_xlfn.XLOOKUP(G90,'Order Page'!X$23:X$404,'Order Page'!U$23:U$404,0)</f>
        <v>0</v>
      </c>
      <c r="D90">
        <f>_xlfn.XLOOKUP(G90,'Order Page'!X$23:X$404,'Order Page'!N$23:N$404,0)</f>
        <v>0</v>
      </c>
      <c r="G90">
        <v>89</v>
      </c>
    </row>
    <row r="91" spans="1:7" x14ac:dyDescent="0.25">
      <c r="A91">
        <f t="shared" si="2"/>
        <v>0</v>
      </c>
      <c r="B91">
        <f t="shared" si="3"/>
        <v>0</v>
      </c>
      <c r="C91">
        <f>_xlfn.XLOOKUP(G91,'Order Page'!X$23:X$404,'Order Page'!U$23:U$404,0)</f>
        <v>0</v>
      </c>
      <c r="D91">
        <f>_xlfn.XLOOKUP(G91,'Order Page'!X$23:X$404,'Order Page'!N$23:N$404,0)</f>
        <v>0</v>
      </c>
      <c r="G91">
        <v>90</v>
      </c>
    </row>
    <row r="92" spans="1:7" x14ac:dyDescent="0.25">
      <c r="A92">
        <f t="shared" si="2"/>
        <v>0</v>
      </c>
      <c r="B92">
        <f t="shared" si="3"/>
        <v>0</v>
      </c>
      <c r="C92">
        <f>_xlfn.XLOOKUP(G92,'Order Page'!X$23:X$404,'Order Page'!U$23:U$404,0)</f>
        <v>0</v>
      </c>
      <c r="D92">
        <f>_xlfn.XLOOKUP(G92,'Order Page'!X$23:X$404,'Order Page'!N$23:N$404,0)</f>
        <v>0</v>
      </c>
      <c r="G92">
        <v>91</v>
      </c>
    </row>
    <row r="93" spans="1:7" x14ac:dyDescent="0.25">
      <c r="A93">
        <f t="shared" si="2"/>
        <v>0</v>
      </c>
      <c r="B93">
        <f t="shared" si="3"/>
        <v>0</v>
      </c>
      <c r="C93">
        <f>_xlfn.XLOOKUP(G93,'Order Page'!X$23:X$404,'Order Page'!U$23:U$404,0)</f>
        <v>0</v>
      </c>
      <c r="D93">
        <f>_xlfn.XLOOKUP(G93,'Order Page'!X$23:X$404,'Order Page'!N$23:N$404,0)</f>
        <v>0</v>
      </c>
      <c r="G93">
        <v>92</v>
      </c>
    </row>
    <row r="94" spans="1:7" x14ac:dyDescent="0.25">
      <c r="A94">
        <f t="shared" si="2"/>
        <v>0</v>
      </c>
      <c r="B94">
        <f t="shared" si="3"/>
        <v>0</v>
      </c>
      <c r="C94">
        <f>_xlfn.XLOOKUP(G94,'Order Page'!X$23:X$404,'Order Page'!U$23:U$404,0)</f>
        <v>0</v>
      </c>
      <c r="D94">
        <f>_xlfn.XLOOKUP(G94,'Order Page'!X$23:X$404,'Order Page'!N$23:N$404,0)</f>
        <v>0</v>
      </c>
      <c r="G94">
        <v>93</v>
      </c>
    </row>
    <row r="95" spans="1:7" x14ac:dyDescent="0.25">
      <c r="A95">
        <f t="shared" si="2"/>
        <v>0</v>
      </c>
      <c r="B95">
        <f t="shared" si="3"/>
        <v>0</v>
      </c>
      <c r="C95">
        <f>_xlfn.XLOOKUP(G95,'Order Page'!X$23:X$404,'Order Page'!U$23:U$404,0)</f>
        <v>0</v>
      </c>
      <c r="D95">
        <f>_xlfn.XLOOKUP(G95,'Order Page'!X$23:X$404,'Order Page'!N$23:N$404,0)</f>
        <v>0</v>
      </c>
      <c r="G95">
        <v>94</v>
      </c>
    </row>
    <row r="96" spans="1:7" x14ac:dyDescent="0.25">
      <c r="A96">
        <f t="shared" si="2"/>
        <v>0</v>
      </c>
      <c r="B96">
        <f t="shared" si="3"/>
        <v>0</v>
      </c>
      <c r="C96">
        <f>_xlfn.XLOOKUP(G96,'Order Page'!X$23:X$404,'Order Page'!U$23:U$404,0)</f>
        <v>0</v>
      </c>
      <c r="D96">
        <f>_xlfn.XLOOKUP(G96,'Order Page'!X$23:X$404,'Order Page'!N$23:N$404,0)</f>
        <v>0</v>
      </c>
      <c r="G96">
        <v>95</v>
      </c>
    </row>
    <row r="97" spans="1:7" x14ac:dyDescent="0.25">
      <c r="A97">
        <f t="shared" si="2"/>
        <v>0</v>
      </c>
      <c r="B97">
        <f t="shared" si="3"/>
        <v>0</v>
      </c>
      <c r="C97">
        <f>_xlfn.XLOOKUP(G97,'Order Page'!X$23:X$404,'Order Page'!U$23:U$404,0)</f>
        <v>0</v>
      </c>
      <c r="D97">
        <f>_xlfn.XLOOKUP(G97,'Order Page'!X$23:X$404,'Order Page'!N$23:N$404,0)</f>
        <v>0</v>
      </c>
      <c r="G97">
        <v>96</v>
      </c>
    </row>
    <row r="98" spans="1:7" x14ac:dyDescent="0.25">
      <c r="A98">
        <f t="shared" si="2"/>
        <v>0</v>
      </c>
      <c r="B98">
        <f t="shared" si="3"/>
        <v>0</v>
      </c>
      <c r="C98">
        <f>_xlfn.XLOOKUP(G98,'Order Page'!X$23:X$404,'Order Page'!U$23:U$404,0)</f>
        <v>0</v>
      </c>
      <c r="D98">
        <f>_xlfn.XLOOKUP(G98,'Order Page'!X$23:X$404,'Order Page'!N$23:N$404,0)</f>
        <v>0</v>
      </c>
      <c r="G98">
        <v>97</v>
      </c>
    </row>
    <row r="99" spans="1:7" x14ac:dyDescent="0.25">
      <c r="A99">
        <f t="shared" si="2"/>
        <v>0</v>
      </c>
      <c r="B99">
        <f t="shared" si="3"/>
        <v>0</v>
      </c>
      <c r="C99">
        <f>_xlfn.XLOOKUP(G99,'Order Page'!X$23:X$404,'Order Page'!U$23:U$404,0)</f>
        <v>0</v>
      </c>
      <c r="D99">
        <f>_xlfn.XLOOKUP(G99,'Order Page'!X$23:X$404,'Order Page'!N$23:N$404,0)</f>
        <v>0</v>
      </c>
      <c r="G99">
        <v>98</v>
      </c>
    </row>
    <row r="100" spans="1:7" x14ac:dyDescent="0.25">
      <c r="A100">
        <f t="shared" si="2"/>
        <v>0</v>
      </c>
      <c r="B100">
        <f t="shared" si="3"/>
        <v>0</v>
      </c>
      <c r="C100">
        <f>_xlfn.XLOOKUP(G100,'Order Page'!X$23:X$404,'Order Page'!U$23:U$404,0)</f>
        <v>0</v>
      </c>
      <c r="D100">
        <f>_xlfn.XLOOKUP(G100,'Order Page'!X$23:X$404,'Order Page'!N$23:N$404,0)</f>
        <v>0</v>
      </c>
      <c r="G100">
        <v>99</v>
      </c>
    </row>
    <row r="101" spans="1:7" x14ac:dyDescent="0.25">
      <c r="A101">
        <f t="shared" si="2"/>
        <v>0</v>
      </c>
      <c r="B101">
        <f t="shared" si="3"/>
        <v>0</v>
      </c>
      <c r="C101">
        <f>_xlfn.XLOOKUP(G101,'Order Page'!X$23:X$404,'Order Page'!U$23:U$404,0)</f>
        <v>0</v>
      </c>
      <c r="D101">
        <f>_xlfn.XLOOKUP(G101,'Order Page'!X$23:X$404,'Order Page'!N$23:N$404,0)</f>
        <v>0</v>
      </c>
      <c r="G101">
        <v>100</v>
      </c>
    </row>
    <row r="102" spans="1:7" x14ac:dyDescent="0.25">
      <c r="A102">
        <f t="shared" si="2"/>
        <v>0</v>
      </c>
      <c r="B102">
        <f t="shared" si="3"/>
        <v>0</v>
      </c>
      <c r="C102">
        <f>_xlfn.XLOOKUP(G102,'Order Page'!X$23:X$404,'Order Page'!U$23:U$404,0)</f>
        <v>0</v>
      </c>
      <c r="D102">
        <f>_xlfn.XLOOKUP(G102,'Order Page'!X$23:X$404,'Order Page'!N$23:N$404,0)</f>
        <v>0</v>
      </c>
      <c r="G102">
        <v>101</v>
      </c>
    </row>
    <row r="103" spans="1:7" x14ac:dyDescent="0.25">
      <c r="A103">
        <f t="shared" si="2"/>
        <v>0</v>
      </c>
      <c r="B103">
        <f t="shared" si="3"/>
        <v>0</v>
      </c>
      <c r="C103">
        <f>_xlfn.XLOOKUP(G103,'Order Page'!X$23:X$404,'Order Page'!U$23:U$404,0)</f>
        <v>0</v>
      </c>
      <c r="D103">
        <f>_xlfn.XLOOKUP(G103,'Order Page'!X$23:X$404,'Order Page'!N$23:N$404,0)</f>
        <v>0</v>
      </c>
      <c r="G103">
        <v>102</v>
      </c>
    </row>
    <row r="104" spans="1:7" x14ac:dyDescent="0.25">
      <c r="A104">
        <f t="shared" si="2"/>
        <v>0</v>
      </c>
      <c r="B104">
        <f t="shared" si="3"/>
        <v>0</v>
      </c>
      <c r="C104">
        <f>_xlfn.XLOOKUP(G104,'Order Page'!X$23:X$404,'Order Page'!U$23:U$404,0)</f>
        <v>0</v>
      </c>
      <c r="D104">
        <f>_xlfn.XLOOKUP(G104,'Order Page'!X$23:X$404,'Order Page'!N$23:N$404,0)</f>
        <v>0</v>
      </c>
      <c r="G104">
        <v>103</v>
      </c>
    </row>
    <row r="105" spans="1:7" x14ac:dyDescent="0.25">
      <c r="A105">
        <f t="shared" si="2"/>
        <v>0</v>
      </c>
      <c r="B105">
        <f t="shared" si="3"/>
        <v>0</v>
      </c>
      <c r="C105">
        <f>_xlfn.XLOOKUP(G105,'Order Page'!X$23:X$404,'Order Page'!U$23:U$404,0)</f>
        <v>0</v>
      </c>
      <c r="D105">
        <f>_xlfn.XLOOKUP(G105,'Order Page'!X$23:X$404,'Order Page'!N$23:N$404,0)</f>
        <v>0</v>
      </c>
      <c r="G105">
        <v>104</v>
      </c>
    </row>
    <row r="106" spans="1:7" x14ac:dyDescent="0.25">
      <c r="A106">
        <f t="shared" si="2"/>
        <v>0</v>
      </c>
      <c r="B106">
        <f t="shared" si="3"/>
        <v>0</v>
      </c>
      <c r="C106">
        <f>_xlfn.XLOOKUP(G106,'Order Page'!X$23:X$404,'Order Page'!U$23:U$404,0)</f>
        <v>0</v>
      </c>
      <c r="D106">
        <f>_xlfn.XLOOKUP(G106,'Order Page'!X$23:X$404,'Order Page'!N$23:N$404,0)</f>
        <v>0</v>
      </c>
      <c r="G106">
        <v>105</v>
      </c>
    </row>
    <row r="107" spans="1:7" x14ac:dyDescent="0.25">
      <c r="A107">
        <f t="shared" si="2"/>
        <v>0</v>
      </c>
      <c r="B107">
        <f t="shared" si="3"/>
        <v>0</v>
      </c>
      <c r="C107">
        <f>_xlfn.XLOOKUP(G107,'Order Page'!X$23:X$404,'Order Page'!U$23:U$404,0)</f>
        <v>0</v>
      </c>
      <c r="D107">
        <f>_xlfn.XLOOKUP(G107,'Order Page'!X$23:X$404,'Order Page'!N$23:N$404,0)</f>
        <v>0</v>
      </c>
      <c r="G107">
        <v>106</v>
      </c>
    </row>
    <row r="108" spans="1:7" x14ac:dyDescent="0.25">
      <c r="A108">
        <f t="shared" si="2"/>
        <v>0</v>
      </c>
      <c r="B108">
        <f t="shared" si="3"/>
        <v>0</v>
      </c>
      <c r="C108">
        <f>_xlfn.XLOOKUP(G108,'Order Page'!X$23:X$404,'Order Page'!U$23:U$404,0)</f>
        <v>0</v>
      </c>
      <c r="D108">
        <f>_xlfn.XLOOKUP(G108,'Order Page'!X$23:X$404,'Order Page'!N$23:N$404,0)</f>
        <v>0</v>
      </c>
      <c r="G108">
        <v>107</v>
      </c>
    </row>
    <row r="109" spans="1:7" x14ac:dyDescent="0.25">
      <c r="A109">
        <f t="shared" si="2"/>
        <v>0</v>
      </c>
      <c r="B109">
        <f t="shared" si="3"/>
        <v>0</v>
      </c>
      <c r="C109">
        <f>_xlfn.XLOOKUP(G109,'Order Page'!X$23:X$404,'Order Page'!U$23:U$404,0)</f>
        <v>0</v>
      </c>
      <c r="D109">
        <f>_xlfn.XLOOKUP(G109,'Order Page'!X$23:X$404,'Order Page'!N$23:N$404,0)</f>
        <v>0</v>
      </c>
      <c r="G109">
        <v>108</v>
      </c>
    </row>
    <row r="110" spans="1:7" x14ac:dyDescent="0.25">
      <c r="A110">
        <f t="shared" si="2"/>
        <v>0</v>
      </c>
      <c r="B110">
        <f t="shared" si="3"/>
        <v>0</v>
      </c>
      <c r="C110">
        <f>_xlfn.XLOOKUP(G110,'Order Page'!X$23:X$404,'Order Page'!U$23:U$404,0)</f>
        <v>0</v>
      </c>
      <c r="D110">
        <f>_xlfn.XLOOKUP(G110,'Order Page'!X$23:X$404,'Order Page'!N$23:N$404,0)</f>
        <v>0</v>
      </c>
      <c r="G110">
        <v>109</v>
      </c>
    </row>
    <row r="111" spans="1:7" x14ac:dyDescent="0.25">
      <c r="A111">
        <f t="shared" si="2"/>
        <v>0</v>
      </c>
      <c r="B111">
        <f t="shared" si="3"/>
        <v>0</v>
      </c>
      <c r="C111">
        <f>_xlfn.XLOOKUP(G111,'Order Page'!X$23:X$404,'Order Page'!U$23:U$404,0)</f>
        <v>0</v>
      </c>
      <c r="D111">
        <f>_xlfn.XLOOKUP(G111,'Order Page'!X$23:X$404,'Order Page'!N$23:N$404,0)</f>
        <v>0</v>
      </c>
      <c r="G111">
        <v>110</v>
      </c>
    </row>
    <row r="112" spans="1:7" x14ac:dyDescent="0.25">
      <c r="A112">
        <f t="shared" si="2"/>
        <v>0</v>
      </c>
      <c r="B112">
        <f t="shared" si="3"/>
        <v>0</v>
      </c>
      <c r="C112">
        <f>_xlfn.XLOOKUP(G112,'Order Page'!X$23:X$404,'Order Page'!U$23:U$404,0)</f>
        <v>0</v>
      </c>
      <c r="D112">
        <f>_xlfn.XLOOKUP(G112,'Order Page'!X$23:X$404,'Order Page'!N$23:N$404,0)</f>
        <v>0</v>
      </c>
      <c r="G112">
        <v>111</v>
      </c>
    </row>
    <row r="113" spans="1:7" x14ac:dyDescent="0.25">
      <c r="A113">
        <f t="shared" si="2"/>
        <v>0</v>
      </c>
      <c r="B113">
        <f t="shared" si="3"/>
        <v>0</v>
      </c>
      <c r="C113">
        <f>_xlfn.XLOOKUP(G113,'Order Page'!X$23:X$404,'Order Page'!U$23:U$404,0)</f>
        <v>0</v>
      </c>
      <c r="D113">
        <f>_xlfn.XLOOKUP(G113,'Order Page'!X$23:X$404,'Order Page'!N$23:N$404,0)</f>
        <v>0</v>
      </c>
      <c r="G113">
        <v>112</v>
      </c>
    </row>
    <row r="114" spans="1:7" x14ac:dyDescent="0.25">
      <c r="A114">
        <f t="shared" si="2"/>
        <v>0</v>
      </c>
      <c r="B114">
        <f t="shared" si="3"/>
        <v>0</v>
      </c>
      <c r="C114">
        <f>_xlfn.XLOOKUP(G114,'Order Page'!X$23:X$404,'Order Page'!U$23:U$404,0)</f>
        <v>0</v>
      </c>
      <c r="D114">
        <f>_xlfn.XLOOKUP(G114,'Order Page'!X$23:X$404,'Order Page'!N$23:N$404,0)</f>
        <v>0</v>
      </c>
      <c r="G114">
        <v>113</v>
      </c>
    </row>
    <row r="115" spans="1:7" x14ac:dyDescent="0.25">
      <c r="A115">
        <f t="shared" si="2"/>
        <v>0</v>
      </c>
      <c r="B115">
        <f t="shared" si="3"/>
        <v>0</v>
      </c>
      <c r="C115">
        <f>_xlfn.XLOOKUP(G115,'Order Page'!X$23:X$404,'Order Page'!U$23:U$404,0)</f>
        <v>0</v>
      </c>
      <c r="D115">
        <f>_xlfn.XLOOKUP(G115,'Order Page'!X$23:X$404,'Order Page'!N$23:N$404,0)</f>
        <v>0</v>
      </c>
      <c r="G115">
        <v>114</v>
      </c>
    </row>
    <row r="116" spans="1:7" x14ac:dyDescent="0.25">
      <c r="A116">
        <f t="shared" si="2"/>
        <v>0</v>
      </c>
      <c r="B116">
        <f t="shared" si="3"/>
        <v>0</v>
      </c>
      <c r="C116">
        <f>_xlfn.XLOOKUP(G116,'Order Page'!X$23:X$404,'Order Page'!U$23:U$404,0)</f>
        <v>0</v>
      </c>
      <c r="D116">
        <f>_xlfn.XLOOKUP(G116,'Order Page'!X$23:X$404,'Order Page'!N$23:N$404,0)</f>
        <v>0</v>
      </c>
      <c r="G116">
        <v>115</v>
      </c>
    </row>
    <row r="117" spans="1:7" x14ac:dyDescent="0.25">
      <c r="A117">
        <f t="shared" si="2"/>
        <v>0</v>
      </c>
      <c r="B117">
        <f t="shared" si="3"/>
        <v>0</v>
      </c>
      <c r="C117">
        <f>_xlfn.XLOOKUP(G117,'Order Page'!X$23:X$404,'Order Page'!U$23:U$404,0)</f>
        <v>0</v>
      </c>
      <c r="D117">
        <f>_xlfn.XLOOKUP(G117,'Order Page'!X$23:X$404,'Order Page'!N$23:N$404,0)</f>
        <v>0</v>
      </c>
      <c r="G117">
        <v>116</v>
      </c>
    </row>
    <row r="118" spans="1:7" x14ac:dyDescent="0.25">
      <c r="A118">
        <f t="shared" si="2"/>
        <v>0</v>
      </c>
      <c r="B118">
        <f t="shared" si="3"/>
        <v>0</v>
      </c>
      <c r="C118">
        <f>_xlfn.XLOOKUP(G118,'Order Page'!X$23:X$404,'Order Page'!U$23:U$404,0)</f>
        <v>0</v>
      </c>
      <c r="D118">
        <f>_xlfn.XLOOKUP(G118,'Order Page'!X$23:X$404,'Order Page'!N$23:N$404,0)</f>
        <v>0</v>
      </c>
      <c r="G118">
        <v>117</v>
      </c>
    </row>
    <row r="119" spans="1:7" x14ac:dyDescent="0.25">
      <c r="A119">
        <f t="shared" si="2"/>
        <v>0</v>
      </c>
      <c r="B119">
        <f t="shared" si="3"/>
        <v>0</v>
      </c>
      <c r="C119">
        <f>_xlfn.XLOOKUP(G119,'Order Page'!X$23:X$404,'Order Page'!U$23:U$404,0)</f>
        <v>0</v>
      </c>
      <c r="D119">
        <f>_xlfn.XLOOKUP(G119,'Order Page'!X$23:X$404,'Order Page'!N$23:N$404,0)</f>
        <v>0</v>
      </c>
      <c r="G119">
        <v>118</v>
      </c>
    </row>
    <row r="120" spans="1:7" x14ac:dyDescent="0.25">
      <c r="A120">
        <f t="shared" si="2"/>
        <v>0</v>
      </c>
      <c r="B120">
        <f t="shared" si="3"/>
        <v>0</v>
      </c>
      <c r="C120">
        <f>_xlfn.XLOOKUP(G120,'Order Page'!X$23:X$404,'Order Page'!U$23:U$404,0)</f>
        <v>0</v>
      </c>
      <c r="D120">
        <f>_xlfn.XLOOKUP(G120,'Order Page'!X$23:X$404,'Order Page'!N$23:N$404,0)</f>
        <v>0</v>
      </c>
      <c r="G120">
        <v>119</v>
      </c>
    </row>
    <row r="121" spans="1:7" x14ac:dyDescent="0.25">
      <c r="A121">
        <f t="shared" si="2"/>
        <v>0</v>
      </c>
      <c r="B121">
        <f t="shared" si="3"/>
        <v>0</v>
      </c>
      <c r="C121">
        <f>_xlfn.XLOOKUP(G121,'Order Page'!X$23:X$404,'Order Page'!U$23:U$404,0)</f>
        <v>0</v>
      </c>
      <c r="D121">
        <f>_xlfn.XLOOKUP(G121,'Order Page'!X$23:X$404,'Order Page'!N$23:N$404,0)</f>
        <v>0</v>
      </c>
      <c r="G121">
        <v>120</v>
      </c>
    </row>
    <row r="122" spans="1:7" x14ac:dyDescent="0.25">
      <c r="A122">
        <f t="shared" si="2"/>
        <v>0</v>
      </c>
      <c r="B122">
        <f t="shared" si="3"/>
        <v>0</v>
      </c>
      <c r="C122">
        <f>_xlfn.XLOOKUP(G122,'Order Page'!X$23:X$404,'Order Page'!U$23:U$404,0)</f>
        <v>0</v>
      </c>
      <c r="D122">
        <f>_xlfn.XLOOKUP(G122,'Order Page'!X$23:X$404,'Order Page'!N$23:N$404,0)</f>
        <v>0</v>
      </c>
      <c r="G122">
        <v>121</v>
      </c>
    </row>
    <row r="123" spans="1:7" x14ac:dyDescent="0.25">
      <c r="A123">
        <f t="shared" si="2"/>
        <v>0</v>
      </c>
      <c r="B123">
        <f t="shared" si="3"/>
        <v>0</v>
      </c>
      <c r="C123">
        <f>_xlfn.XLOOKUP(G123,'Order Page'!X$23:X$404,'Order Page'!U$23:U$404,0)</f>
        <v>0</v>
      </c>
      <c r="D123">
        <f>_xlfn.XLOOKUP(G123,'Order Page'!X$23:X$404,'Order Page'!N$23:N$404,0)</f>
        <v>0</v>
      </c>
      <c r="G123">
        <v>122</v>
      </c>
    </row>
    <row r="124" spans="1:7" x14ac:dyDescent="0.25">
      <c r="A124">
        <f t="shared" si="2"/>
        <v>0</v>
      </c>
      <c r="B124">
        <f t="shared" si="3"/>
        <v>0</v>
      </c>
      <c r="C124">
        <f>_xlfn.XLOOKUP(G124,'Order Page'!X$23:X$404,'Order Page'!U$23:U$404,0)</f>
        <v>0</v>
      </c>
      <c r="D124">
        <f>_xlfn.XLOOKUP(G124,'Order Page'!X$23:X$404,'Order Page'!N$23:N$404,0)</f>
        <v>0</v>
      </c>
      <c r="G124">
        <v>123</v>
      </c>
    </row>
    <row r="125" spans="1:7" x14ac:dyDescent="0.25">
      <c r="A125">
        <f t="shared" si="2"/>
        <v>0</v>
      </c>
      <c r="B125">
        <f t="shared" si="3"/>
        <v>0</v>
      </c>
      <c r="C125">
        <f>_xlfn.XLOOKUP(G125,'Order Page'!X$23:X$404,'Order Page'!U$23:U$404,0)</f>
        <v>0</v>
      </c>
      <c r="D125">
        <f>_xlfn.XLOOKUP(G125,'Order Page'!X$23:X$404,'Order Page'!N$23:N$404,0)</f>
        <v>0</v>
      </c>
      <c r="G125">
        <v>124</v>
      </c>
    </row>
    <row r="126" spans="1:7" x14ac:dyDescent="0.25">
      <c r="A126">
        <f t="shared" si="2"/>
        <v>0</v>
      </c>
      <c r="B126">
        <f t="shared" si="3"/>
        <v>0</v>
      </c>
      <c r="C126">
        <f>_xlfn.XLOOKUP(G126,'Order Page'!X$23:X$404,'Order Page'!U$23:U$404,0)</f>
        <v>0</v>
      </c>
      <c r="D126">
        <f>_xlfn.XLOOKUP(G126,'Order Page'!X$23:X$404,'Order Page'!N$23:N$404,0)</f>
        <v>0</v>
      </c>
      <c r="G126">
        <v>125</v>
      </c>
    </row>
    <row r="127" spans="1:7" x14ac:dyDescent="0.25">
      <c r="A127">
        <f t="shared" si="2"/>
        <v>0</v>
      </c>
      <c r="B127">
        <f t="shared" si="3"/>
        <v>0</v>
      </c>
      <c r="C127">
        <f>_xlfn.XLOOKUP(G127,'Order Page'!X$23:X$404,'Order Page'!U$23:U$404,0)</f>
        <v>0</v>
      </c>
      <c r="D127">
        <f>_xlfn.XLOOKUP(G127,'Order Page'!X$23:X$404,'Order Page'!N$23:N$404,0)</f>
        <v>0</v>
      </c>
      <c r="G127">
        <v>126</v>
      </c>
    </row>
    <row r="128" spans="1:7" x14ac:dyDescent="0.25">
      <c r="A128">
        <f t="shared" si="2"/>
        <v>0</v>
      </c>
      <c r="B128">
        <f t="shared" si="3"/>
        <v>0</v>
      </c>
      <c r="C128">
        <f>_xlfn.XLOOKUP(G128,'Order Page'!X$23:X$404,'Order Page'!U$23:U$404,0)</f>
        <v>0</v>
      </c>
      <c r="D128">
        <f>_xlfn.XLOOKUP(G128,'Order Page'!X$23:X$404,'Order Page'!N$23:N$404,0)</f>
        <v>0</v>
      </c>
      <c r="G128">
        <v>127</v>
      </c>
    </row>
    <row r="129" spans="1:7" x14ac:dyDescent="0.25">
      <c r="A129">
        <f t="shared" si="2"/>
        <v>0</v>
      </c>
      <c r="B129">
        <f t="shared" si="3"/>
        <v>0</v>
      </c>
      <c r="C129">
        <f>_xlfn.XLOOKUP(G129,'Order Page'!X$23:X$404,'Order Page'!U$23:U$404,0)</f>
        <v>0</v>
      </c>
      <c r="D129">
        <f>_xlfn.XLOOKUP(G129,'Order Page'!X$23:X$404,'Order Page'!N$23:N$404,0)</f>
        <v>0</v>
      </c>
      <c r="G129">
        <v>128</v>
      </c>
    </row>
    <row r="130" spans="1:7" x14ac:dyDescent="0.25">
      <c r="A130">
        <f t="shared" si="2"/>
        <v>0</v>
      </c>
      <c r="B130">
        <f t="shared" si="3"/>
        <v>0</v>
      </c>
      <c r="C130">
        <f>_xlfn.XLOOKUP(G130,'Order Page'!X$23:X$404,'Order Page'!U$23:U$404,0)</f>
        <v>0</v>
      </c>
      <c r="D130">
        <f>_xlfn.XLOOKUP(G130,'Order Page'!X$23:X$404,'Order Page'!N$23:N$404,0)</f>
        <v>0</v>
      </c>
      <c r="G130">
        <v>129</v>
      </c>
    </row>
    <row r="131" spans="1:7" x14ac:dyDescent="0.25">
      <c r="A131">
        <f t="shared" ref="A131:A151" si="4">I$1</f>
        <v>0</v>
      </c>
      <c r="B131">
        <f t="shared" ref="B131:B151" si="5">I$2</f>
        <v>0</v>
      </c>
      <c r="C131">
        <f>_xlfn.XLOOKUP(G131,'Order Page'!X$23:X$404,'Order Page'!U$23:U$404,0)</f>
        <v>0</v>
      </c>
      <c r="D131">
        <f>_xlfn.XLOOKUP(G131,'Order Page'!X$23:X$404,'Order Page'!N$23:N$404,0)</f>
        <v>0</v>
      </c>
      <c r="G131">
        <v>130</v>
      </c>
    </row>
    <row r="132" spans="1:7" x14ac:dyDescent="0.25">
      <c r="A132">
        <f t="shared" si="4"/>
        <v>0</v>
      </c>
      <c r="B132">
        <f t="shared" si="5"/>
        <v>0</v>
      </c>
      <c r="C132">
        <f>_xlfn.XLOOKUP(G132,'Order Page'!X$23:X$404,'Order Page'!U$23:U$404,0)</f>
        <v>0</v>
      </c>
      <c r="D132">
        <f>_xlfn.XLOOKUP(G132,'Order Page'!X$23:X$404,'Order Page'!N$23:N$404,0)</f>
        <v>0</v>
      </c>
      <c r="G132">
        <v>131</v>
      </c>
    </row>
    <row r="133" spans="1:7" x14ac:dyDescent="0.25">
      <c r="A133">
        <f t="shared" si="4"/>
        <v>0</v>
      </c>
      <c r="B133">
        <f t="shared" si="5"/>
        <v>0</v>
      </c>
      <c r="C133">
        <f>_xlfn.XLOOKUP(G133,'Order Page'!X$23:X$404,'Order Page'!U$23:U$404,0)</f>
        <v>0</v>
      </c>
      <c r="D133">
        <f>_xlfn.XLOOKUP(G133,'Order Page'!X$23:X$404,'Order Page'!N$23:N$404,0)</f>
        <v>0</v>
      </c>
      <c r="G133">
        <v>132</v>
      </c>
    </row>
    <row r="134" spans="1:7" x14ac:dyDescent="0.25">
      <c r="A134">
        <f t="shared" si="4"/>
        <v>0</v>
      </c>
      <c r="B134">
        <f t="shared" si="5"/>
        <v>0</v>
      </c>
      <c r="C134">
        <f>_xlfn.XLOOKUP(G134,'Order Page'!X$23:X$404,'Order Page'!U$23:U$404,0)</f>
        <v>0</v>
      </c>
      <c r="D134">
        <f>_xlfn.XLOOKUP(G134,'Order Page'!X$23:X$404,'Order Page'!N$23:N$404,0)</f>
        <v>0</v>
      </c>
      <c r="G134">
        <v>133</v>
      </c>
    </row>
    <row r="135" spans="1:7" x14ac:dyDescent="0.25">
      <c r="A135">
        <f t="shared" si="4"/>
        <v>0</v>
      </c>
      <c r="B135">
        <f t="shared" si="5"/>
        <v>0</v>
      </c>
      <c r="C135">
        <f>_xlfn.XLOOKUP(G135,'Order Page'!X$23:X$404,'Order Page'!U$23:U$404,0)</f>
        <v>0</v>
      </c>
      <c r="D135">
        <f>_xlfn.XLOOKUP(G135,'Order Page'!X$23:X$404,'Order Page'!N$23:N$404,0)</f>
        <v>0</v>
      </c>
      <c r="G135">
        <v>134</v>
      </c>
    </row>
    <row r="136" spans="1:7" x14ac:dyDescent="0.25">
      <c r="A136">
        <f t="shared" si="4"/>
        <v>0</v>
      </c>
      <c r="B136">
        <f t="shared" si="5"/>
        <v>0</v>
      </c>
      <c r="C136">
        <f>_xlfn.XLOOKUP(G136,'Order Page'!X$23:X$404,'Order Page'!U$23:U$404,0)</f>
        <v>0</v>
      </c>
      <c r="D136">
        <f>_xlfn.XLOOKUP(G136,'Order Page'!X$23:X$404,'Order Page'!N$23:N$404,0)</f>
        <v>0</v>
      </c>
      <c r="G136">
        <v>135</v>
      </c>
    </row>
    <row r="137" spans="1:7" x14ac:dyDescent="0.25">
      <c r="A137">
        <f t="shared" si="4"/>
        <v>0</v>
      </c>
      <c r="B137">
        <f t="shared" si="5"/>
        <v>0</v>
      </c>
      <c r="C137">
        <f>_xlfn.XLOOKUP(G137,'Order Page'!X$23:X$404,'Order Page'!U$23:U$404,0)</f>
        <v>0</v>
      </c>
      <c r="D137">
        <f>_xlfn.XLOOKUP(G137,'Order Page'!X$23:X$404,'Order Page'!N$23:N$404,0)</f>
        <v>0</v>
      </c>
      <c r="G137">
        <v>136</v>
      </c>
    </row>
    <row r="138" spans="1:7" x14ac:dyDescent="0.25">
      <c r="A138">
        <f t="shared" si="4"/>
        <v>0</v>
      </c>
      <c r="B138">
        <f t="shared" si="5"/>
        <v>0</v>
      </c>
      <c r="C138">
        <f>_xlfn.XLOOKUP(G138,'Order Page'!X$23:X$404,'Order Page'!U$23:U$404,0)</f>
        <v>0</v>
      </c>
      <c r="D138">
        <f>_xlfn.XLOOKUP(G138,'Order Page'!X$23:X$404,'Order Page'!N$23:N$404,0)</f>
        <v>0</v>
      </c>
      <c r="G138">
        <v>137</v>
      </c>
    </row>
    <row r="139" spans="1:7" x14ac:dyDescent="0.25">
      <c r="A139">
        <f t="shared" si="4"/>
        <v>0</v>
      </c>
      <c r="B139">
        <f t="shared" si="5"/>
        <v>0</v>
      </c>
      <c r="C139">
        <f>_xlfn.XLOOKUP(G139,'Order Page'!X$23:X$404,'Order Page'!U$23:U$404,0)</f>
        <v>0</v>
      </c>
      <c r="D139">
        <f>_xlfn.XLOOKUP(G139,'Order Page'!X$23:X$404,'Order Page'!N$23:N$404,0)</f>
        <v>0</v>
      </c>
      <c r="G139">
        <v>138</v>
      </c>
    </row>
    <row r="140" spans="1:7" x14ac:dyDescent="0.25">
      <c r="A140">
        <f t="shared" si="4"/>
        <v>0</v>
      </c>
      <c r="B140">
        <f t="shared" si="5"/>
        <v>0</v>
      </c>
      <c r="C140">
        <f>_xlfn.XLOOKUP(G140,'Order Page'!X$23:X$404,'Order Page'!U$23:U$404,0)</f>
        <v>0</v>
      </c>
      <c r="D140">
        <f>_xlfn.XLOOKUP(G140,'Order Page'!X$23:X$404,'Order Page'!N$23:N$404,0)</f>
        <v>0</v>
      </c>
      <c r="G140">
        <v>139</v>
      </c>
    </row>
    <row r="141" spans="1:7" x14ac:dyDescent="0.25">
      <c r="A141">
        <f t="shared" si="4"/>
        <v>0</v>
      </c>
      <c r="B141">
        <f t="shared" si="5"/>
        <v>0</v>
      </c>
      <c r="C141">
        <f>_xlfn.XLOOKUP(G141,'Order Page'!X$23:X$404,'Order Page'!U$23:U$404,0)</f>
        <v>0</v>
      </c>
      <c r="D141">
        <f>_xlfn.XLOOKUP(G141,'Order Page'!X$23:X$404,'Order Page'!N$23:N$404,0)</f>
        <v>0</v>
      </c>
      <c r="G141">
        <v>140</v>
      </c>
    </row>
    <row r="142" spans="1:7" x14ac:dyDescent="0.25">
      <c r="A142">
        <f t="shared" si="4"/>
        <v>0</v>
      </c>
      <c r="B142">
        <f t="shared" si="5"/>
        <v>0</v>
      </c>
      <c r="C142">
        <f>_xlfn.XLOOKUP(G142,'Order Page'!X$23:X$404,'Order Page'!U$23:U$404,0)</f>
        <v>0</v>
      </c>
      <c r="D142">
        <f>_xlfn.XLOOKUP(G142,'Order Page'!X$23:X$404,'Order Page'!N$23:N$404,0)</f>
        <v>0</v>
      </c>
      <c r="G142">
        <v>141</v>
      </c>
    </row>
    <row r="143" spans="1:7" x14ac:dyDescent="0.25">
      <c r="A143">
        <f t="shared" si="4"/>
        <v>0</v>
      </c>
      <c r="B143">
        <f t="shared" si="5"/>
        <v>0</v>
      </c>
      <c r="C143">
        <f>_xlfn.XLOOKUP(G143,'Order Page'!X$23:X$404,'Order Page'!U$23:U$404,0)</f>
        <v>0</v>
      </c>
      <c r="D143">
        <f>_xlfn.XLOOKUP(G143,'Order Page'!X$23:X$404,'Order Page'!N$23:N$404,0)</f>
        <v>0</v>
      </c>
      <c r="G143">
        <v>142</v>
      </c>
    </row>
    <row r="144" spans="1:7" x14ac:dyDescent="0.25">
      <c r="A144">
        <f t="shared" si="4"/>
        <v>0</v>
      </c>
      <c r="B144">
        <f t="shared" si="5"/>
        <v>0</v>
      </c>
      <c r="C144">
        <f>_xlfn.XLOOKUP(G144,'Order Page'!X$23:X$404,'Order Page'!U$23:U$404,0)</f>
        <v>0</v>
      </c>
      <c r="D144">
        <f>_xlfn.XLOOKUP(G144,'Order Page'!X$23:X$404,'Order Page'!N$23:N$404,0)</f>
        <v>0</v>
      </c>
      <c r="G144">
        <v>143</v>
      </c>
    </row>
    <row r="145" spans="1:7" x14ac:dyDescent="0.25">
      <c r="A145">
        <f t="shared" si="4"/>
        <v>0</v>
      </c>
      <c r="B145">
        <f t="shared" si="5"/>
        <v>0</v>
      </c>
      <c r="C145">
        <f>_xlfn.XLOOKUP(G145,'Order Page'!X$23:X$404,'Order Page'!U$23:U$404,0)</f>
        <v>0</v>
      </c>
      <c r="D145">
        <f>_xlfn.XLOOKUP(G145,'Order Page'!X$23:X$404,'Order Page'!N$23:N$404,0)</f>
        <v>0</v>
      </c>
      <c r="G145">
        <v>144</v>
      </c>
    </row>
    <row r="146" spans="1:7" x14ac:dyDescent="0.25">
      <c r="A146">
        <f t="shared" si="4"/>
        <v>0</v>
      </c>
      <c r="B146">
        <f t="shared" si="5"/>
        <v>0</v>
      </c>
      <c r="C146">
        <f>_xlfn.XLOOKUP(G146,'Order Page'!X$23:X$404,'Order Page'!U$23:U$404,0)</f>
        <v>0</v>
      </c>
      <c r="D146">
        <f>_xlfn.XLOOKUP(G146,'Order Page'!X$23:X$404,'Order Page'!N$23:N$404,0)</f>
        <v>0</v>
      </c>
      <c r="G146">
        <v>145</v>
      </c>
    </row>
    <row r="147" spans="1:7" x14ac:dyDescent="0.25">
      <c r="A147">
        <f t="shared" si="4"/>
        <v>0</v>
      </c>
      <c r="B147">
        <f t="shared" si="5"/>
        <v>0</v>
      </c>
      <c r="C147">
        <f>_xlfn.XLOOKUP(G147,'Order Page'!X$23:X$404,'Order Page'!U$23:U$404,0)</f>
        <v>0</v>
      </c>
      <c r="D147">
        <f>_xlfn.XLOOKUP(G147,'Order Page'!X$23:X$404,'Order Page'!N$23:N$404,0)</f>
        <v>0</v>
      </c>
      <c r="G147">
        <v>146</v>
      </c>
    </row>
    <row r="148" spans="1:7" x14ac:dyDescent="0.25">
      <c r="A148">
        <f t="shared" si="4"/>
        <v>0</v>
      </c>
      <c r="B148">
        <f t="shared" si="5"/>
        <v>0</v>
      </c>
      <c r="C148">
        <f>_xlfn.XLOOKUP(G148,'Order Page'!X$23:X$404,'Order Page'!U$23:U$404,0)</f>
        <v>0</v>
      </c>
      <c r="D148">
        <f>_xlfn.XLOOKUP(G148,'Order Page'!X$23:X$404,'Order Page'!N$23:N$404,0)</f>
        <v>0</v>
      </c>
      <c r="G148">
        <v>147</v>
      </c>
    </row>
    <row r="149" spans="1:7" x14ac:dyDescent="0.25">
      <c r="A149">
        <f t="shared" si="4"/>
        <v>0</v>
      </c>
      <c r="B149">
        <f t="shared" si="5"/>
        <v>0</v>
      </c>
      <c r="C149">
        <f>_xlfn.XLOOKUP(G149,'Order Page'!X$23:X$404,'Order Page'!U$23:U$404,0)</f>
        <v>0</v>
      </c>
      <c r="D149">
        <f>_xlfn.XLOOKUP(G149,'Order Page'!X$23:X$404,'Order Page'!N$23:N$404,0)</f>
        <v>0</v>
      </c>
      <c r="G149">
        <v>148</v>
      </c>
    </row>
    <row r="150" spans="1:7" x14ac:dyDescent="0.25">
      <c r="A150">
        <f t="shared" si="4"/>
        <v>0</v>
      </c>
      <c r="B150">
        <f t="shared" si="5"/>
        <v>0</v>
      </c>
      <c r="C150">
        <f>_xlfn.XLOOKUP(G150,'Order Page'!X$23:X$404,'Order Page'!U$23:U$404,0)</f>
        <v>0</v>
      </c>
      <c r="D150">
        <f>_xlfn.XLOOKUP(G150,'Order Page'!X$23:X$404,'Order Page'!N$23:N$404,0)</f>
        <v>0</v>
      </c>
      <c r="G150">
        <v>149</v>
      </c>
    </row>
    <row r="151" spans="1:7" x14ac:dyDescent="0.25">
      <c r="A151">
        <f t="shared" si="4"/>
        <v>0</v>
      </c>
      <c r="B151">
        <f t="shared" si="5"/>
        <v>0</v>
      </c>
      <c r="C151">
        <f>_xlfn.XLOOKUP(G151,'Order Page'!X$23:X$404,'Order Page'!U$23:U$404,0)</f>
        <v>0</v>
      </c>
      <c r="D151">
        <f>_xlfn.XLOOKUP(G151,'Order Page'!X$23:X$404,'Order Page'!N$23:N$404,0)</f>
        <v>0</v>
      </c>
      <c r="G151">
        <v>150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B988E7-AB66-47C2-9D4D-88B6F094B789}">
  <dimension ref="A1:W49"/>
  <sheetViews>
    <sheetView topLeftCell="E8" zoomScaleNormal="100" workbookViewId="0">
      <selection activeCell="M29" sqref="M29"/>
    </sheetView>
  </sheetViews>
  <sheetFormatPr defaultRowHeight="15" x14ac:dyDescent="0.25"/>
  <cols>
    <col min="1" max="1" width="3.85546875" customWidth="1"/>
    <col min="2" max="2" width="27.28515625" customWidth="1"/>
    <col min="3" max="3" width="2.140625" customWidth="1"/>
    <col min="4" max="4" width="3.85546875" customWidth="1"/>
    <col min="5" max="5" width="27.28515625" customWidth="1"/>
    <col min="6" max="6" width="2.140625" customWidth="1"/>
    <col min="7" max="7" width="3.85546875" customWidth="1"/>
    <col min="8" max="8" width="27.28515625" customWidth="1"/>
    <col min="9" max="9" width="3.85546875" customWidth="1"/>
    <col min="10" max="10" width="27.28515625" customWidth="1"/>
    <col min="11" max="11" width="2.42578125" customWidth="1"/>
    <col min="12" max="12" width="3.85546875" customWidth="1"/>
    <col min="13" max="13" width="27.28515625" customWidth="1"/>
    <col min="14" max="14" width="2.42578125" customWidth="1"/>
    <col min="15" max="15" width="3.85546875" customWidth="1"/>
    <col min="16" max="16" width="27.28515625" customWidth="1"/>
    <col min="17" max="17" width="3.85546875" customWidth="1"/>
    <col min="18" max="18" width="27.28515625" customWidth="1"/>
    <col min="19" max="19" width="2.42578125" customWidth="1"/>
    <col min="20" max="20" width="3.85546875" customWidth="1"/>
    <col min="21" max="21" width="27.140625" customWidth="1"/>
    <col min="22" max="22" width="2.42578125" customWidth="1"/>
  </cols>
  <sheetData>
    <row r="1" spans="1:23" ht="36" x14ac:dyDescent="0.55000000000000004">
      <c r="A1" s="352" t="s">
        <v>1011</v>
      </c>
      <c r="H1" t="s">
        <v>1012</v>
      </c>
      <c r="I1" s="352" t="s">
        <v>1011</v>
      </c>
      <c r="O1" t="s">
        <v>1012</v>
      </c>
      <c r="Q1" s="352" t="s">
        <v>1011</v>
      </c>
      <c r="W1" t="s">
        <v>1012</v>
      </c>
    </row>
    <row r="2" spans="1:23" x14ac:dyDescent="0.25">
      <c r="A2" s="398" t="s">
        <v>562</v>
      </c>
      <c r="B2" s="398"/>
      <c r="C2" s="346"/>
      <c r="D2" s="398" t="s">
        <v>562</v>
      </c>
      <c r="E2" s="398"/>
      <c r="G2" s="398" t="s">
        <v>562</v>
      </c>
      <c r="H2" s="398"/>
      <c r="I2" s="398" t="s">
        <v>969</v>
      </c>
      <c r="J2" s="398"/>
      <c r="L2" s="398" t="s">
        <v>969</v>
      </c>
      <c r="M2" s="398"/>
      <c r="O2" s="398" t="s">
        <v>969</v>
      </c>
      <c r="P2" s="398"/>
      <c r="Q2" s="398" t="s">
        <v>1007</v>
      </c>
      <c r="R2" s="398"/>
      <c r="T2" s="398" t="s">
        <v>1010</v>
      </c>
      <c r="U2" s="398"/>
    </row>
    <row r="3" spans="1:23" x14ac:dyDescent="0.25">
      <c r="A3" s="398"/>
      <c r="B3" s="398"/>
      <c r="C3" s="347"/>
      <c r="D3" s="398"/>
      <c r="E3" s="398"/>
      <c r="G3" s="398"/>
      <c r="H3" s="398"/>
      <c r="I3" s="398"/>
      <c r="J3" s="398"/>
      <c r="L3" s="398"/>
      <c r="M3" s="398"/>
      <c r="O3" s="398"/>
      <c r="P3" s="398"/>
      <c r="Q3" s="398"/>
      <c r="R3" s="398"/>
      <c r="T3" s="398"/>
      <c r="U3" s="398"/>
    </row>
    <row r="4" spans="1:23" x14ac:dyDescent="0.25">
      <c r="A4" s="349">
        <v>1</v>
      </c>
      <c r="B4" s="349" t="str">
        <f>_xlfn.XLOOKUP(A4,'Order Page'!O$24:O$386,'Order Page'!C$24:C$386,"")</f>
        <v/>
      </c>
      <c r="C4" s="346"/>
      <c r="D4" s="349">
        <v>34</v>
      </c>
      <c r="E4" s="349" t="str">
        <f>_xlfn.XLOOKUP(D4,'Order Page'!O$24:O$386,'Order Page'!C$24:C$386,"")</f>
        <v/>
      </c>
      <c r="G4" s="349">
        <v>56</v>
      </c>
      <c r="H4" s="349" t="str">
        <f>_xlfn.XLOOKUP(G4,'Order Page'!O$24:O$386,'Order Page'!C$24:C$386,"")</f>
        <v>Myosotis Palustris Alba</v>
      </c>
      <c r="I4" s="350">
        <v>85</v>
      </c>
      <c r="J4" s="350" t="str">
        <f>_xlfn.XLOOKUP(I4,'Order Page'!O$24:O$386,'Order Page'!C$24:C$386,"")</f>
        <v>Acorus Gramineus 'Variegatus'</v>
      </c>
      <c r="K4" s="348"/>
      <c r="L4" s="350">
        <v>105</v>
      </c>
      <c r="M4" s="350" t="str">
        <f>_xlfn.XLOOKUP(L4,'Order Page'!O$24:O$386,'Order Page'!C$24:C$386,"")</f>
        <v/>
      </c>
      <c r="O4" s="350">
        <v>129</v>
      </c>
      <c r="P4" s="350" t="str">
        <f>_xlfn.XLOOKUP(O4,'Order Page'!O$24:O$386,'Order Page'!C$24:C$386,"")</f>
        <v>Rotala indica</v>
      </c>
      <c r="Q4" s="350">
        <v>141</v>
      </c>
      <c r="R4" s="350" t="s">
        <v>970</v>
      </c>
      <c r="T4" s="350">
        <v>150</v>
      </c>
      <c r="U4" s="350" t="s">
        <v>978</v>
      </c>
    </row>
    <row r="5" spans="1:23" x14ac:dyDescent="0.25">
      <c r="A5" s="349">
        <v>2</v>
      </c>
      <c r="B5" s="349" t="str">
        <f>_xlfn.XLOOKUP(A5,'Order Page'!O$24:O$386,'Order Page'!C$24:C$386,"")</f>
        <v/>
      </c>
      <c r="C5" s="346"/>
      <c r="D5" s="349">
        <v>35</v>
      </c>
      <c r="E5" s="349" t="str">
        <f>_xlfn.XLOOKUP(D5,'Order Page'!O$24:O$386,'Order Page'!C$24:C$386,"")</f>
        <v/>
      </c>
      <c r="G5" s="349">
        <v>57</v>
      </c>
      <c r="H5" s="349" t="str">
        <f>_xlfn.XLOOKUP(G5,'Order Page'!O$24:O$386,'Order Page'!C$24:C$386,"")</f>
        <v>Oenanthe Flamingo</v>
      </c>
      <c r="I5" s="350">
        <v>86</v>
      </c>
      <c r="J5" s="350" t="str">
        <f>_xlfn.XLOOKUP(I5,'Order Page'!O$24:O$386,'Order Page'!C$24:C$386,"")</f>
        <v>Carex pendula</v>
      </c>
      <c r="K5" s="348"/>
      <c r="L5" s="350">
        <v>106</v>
      </c>
      <c r="M5" s="350" t="str">
        <f>_xlfn.XLOOKUP(L5,'Order Page'!O$24:O$386,'Order Page'!C$24:C$386,"")</f>
        <v/>
      </c>
      <c r="O5" s="350">
        <v>130</v>
      </c>
      <c r="P5" s="350" t="str">
        <f>_xlfn.XLOOKUP(O5,'Order Page'!O$24:O$386,'Order Page'!C$24:C$386,"")</f>
        <v>Scirpus Cernuus</v>
      </c>
      <c r="Q5" s="350">
        <v>142</v>
      </c>
      <c r="R5" s="350" t="s">
        <v>971</v>
      </c>
      <c r="T5" s="350">
        <v>151</v>
      </c>
      <c r="U5" s="350" t="s">
        <v>978</v>
      </c>
    </row>
    <row r="6" spans="1:23" x14ac:dyDescent="0.25">
      <c r="A6" s="349">
        <v>3</v>
      </c>
      <c r="B6" s="349" t="str">
        <f>_xlfn.XLOOKUP(A6,'Order Page'!O$24:O$386,'Order Page'!C$24:C$386,"")</f>
        <v/>
      </c>
      <c r="C6" s="346"/>
      <c r="D6" s="349">
        <v>36</v>
      </c>
      <c r="E6" s="349" t="str">
        <f>_xlfn.XLOOKUP(D6,'Order Page'!O$24:O$386,'Order Page'!C$24:C$386,"")</f>
        <v/>
      </c>
      <c r="G6" s="349">
        <v>58</v>
      </c>
      <c r="H6" s="349" t="str">
        <f>_xlfn.XLOOKUP(G6,'Order Page'!O$24:O$386,'Order Page'!C$24:C$386,"")</f>
        <v xml:space="preserve">Phalaris arundinacea 'Picta'   </v>
      </c>
      <c r="I6" s="350">
        <v>87</v>
      </c>
      <c r="J6" s="350" t="str">
        <f>_xlfn.XLOOKUP(I6,'Order Page'!O$24:O$386,'Order Page'!C$24:C$386,"")</f>
        <v>Cyperus Alternifolius</v>
      </c>
      <c r="K6" s="348"/>
      <c r="L6" s="350">
        <v>107</v>
      </c>
      <c r="M6" s="350" t="str">
        <f>_xlfn.XLOOKUP(L6,'Order Page'!O$24:O$386,'Order Page'!C$24:C$386,"")</f>
        <v/>
      </c>
      <c r="O6" s="350">
        <v>131</v>
      </c>
      <c r="P6" s="350" t="str">
        <f>_xlfn.XLOOKUP(O6,'Order Page'!O$24:O$386,'Order Page'!C$24:C$386,"")</f>
        <v xml:space="preserve">Anagallis tenella </v>
      </c>
      <c r="Q6" s="350">
        <v>143</v>
      </c>
      <c r="R6" s="350" t="s">
        <v>972</v>
      </c>
      <c r="T6" s="350">
        <v>152</v>
      </c>
      <c r="U6" s="350" t="s">
        <v>978</v>
      </c>
    </row>
    <row r="7" spans="1:23" x14ac:dyDescent="0.25">
      <c r="A7" s="349">
        <v>4</v>
      </c>
      <c r="B7" s="349" t="str">
        <f>_xlfn.XLOOKUP(A7,'Order Page'!O$24:O$386,'Order Page'!C$24:C$386,"")</f>
        <v/>
      </c>
      <c r="C7" s="346"/>
      <c r="D7" s="349">
        <v>37</v>
      </c>
      <c r="E7" s="349" t="str">
        <f>_xlfn.XLOOKUP(D7,'Order Page'!O$24:O$386,'Order Page'!C$24:C$386,"")</f>
        <v/>
      </c>
      <c r="G7" s="349">
        <v>59</v>
      </c>
      <c r="H7" s="349" t="str">
        <f>_xlfn.XLOOKUP(G7,'Order Page'!O$24:O$386,'Order Page'!C$24:C$386,"")</f>
        <v>Preslia Cervina</v>
      </c>
      <c r="I7" s="350">
        <v>88</v>
      </c>
      <c r="J7" s="350" t="str">
        <f>_xlfn.XLOOKUP(I7,'Order Page'!O$24:O$386,'Order Page'!C$24:C$386,"")</f>
        <v>Glyceria Aquatica Variegata</v>
      </c>
      <c r="K7" s="348"/>
      <c r="L7" s="350">
        <v>108</v>
      </c>
      <c r="M7" s="350" t="str">
        <f>_xlfn.XLOOKUP(L7,'Order Page'!O$24:O$386,'Order Page'!C$24:C$386,"")</f>
        <v/>
      </c>
      <c r="O7" s="350">
        <v>132</v>
      </c>
      <c r="P7" s="350" t="str">
        <f>_xlfn.XLOOKUP(O7,'Order Page'!O$24:O$386,'Order Page'!C$24:C$386,"")</f>
        <v>Hydrocotyle sibthorpioides variegata</v>
      </c>
      <c r="Q7" s="350">
        <v>144</v>
      </c>
      <c r="R7" s="350" t="s">
        <v>973</v>
      </c>
      <c r="T7" s="350">
        <v>169</v>
      </c>
      <c r="U7" s="350" t="s">
        <v>978</v>
      </c>
    </row>
    <row r="8" spans="1:23" x14ac:dyDescent="0.25">
      <c r="A8" s="349">
        <v>5</v>
      </c>
      <c r="B8" s="349" t="str">
        <f>_xlfn.XLOOKUP(A8,'Order Page'!O$24:O$386,'Order Page'!C$24:C$386,"")</f>
        <v/>
      </c>
      <c r="C8" s="346"/>
      <c r="D8" s="349">
        <v>38</v>
      </c>
      <c r="E8" s="349" t="str">
        <f>_xlfn.XLOOKUP(D8,'Order Page'!O$24:O$386,'Order Page'!C$24:C$386,"")</f>
        <v>Acorus Calamus</v>
      </c>
      <c r="G8" s="349">
        <v>60</v>
      </c>
      <c r="H8" s="349" t="str">
        <f>_xlfn.XLOOKUP(G8,'Order Page'!O$24:O$386,'Order Page'!C$24:C$386,"")</f>
        <v>Preslia Cervina Alba</v>
      </c>
      <c r="I8" s="350">
        <v>89</v>
      </c>
      <c r="J8" s="350" t="str">
        <f>_xlfn.XLOOKUP(I8,'Order Page'!O$24:O$386,'Order Page'!C$24:C$386,"")</f>
        <v>Iris pseudacorus</v>
      </c>
      <c r="K8" s="348"/>
      <c r="L8" s="350">
        <v>109</v>
      </c>
      <c r="M8" s="350" t="str">
        <f>_xlfn.XLOOKUP(L8,'Order Page'!O$24:O$386,'Order Page'!C$24:C$386,"")</f>
        <v/>
      </c>
      <c r="O8" s="350">
        <v>133</v>
      </c>
      <c r="P8" s="350" t="str">
        <f>_xlfn.XLOOKUP(O8,'Order Page'!O$24:O$386,'Order Page'!C$24:C$386,"")</f>
        <v/>
      </c>
      <c r="Q8" s="350">
        <v>145</v>
      </c>
      <c r="R8" s="350" t="s">
        <v>974</v>
      </c>
      <c r="T8" s="350">
        <v>170</v>
      </c>
      <c r="U8" s="350" t="s">
        <v>978</v>
      </c>
    </row>
    <row r="9" spans="1:23" x14ac:dyDescent="0.25">
      <c r="A9" s="349">
        <v>6</v>
      </c>
      <c r="B9" s="349" t="str">
        <f>_xlfn.XLOOKUP(A9,'Order Page'!O$24:O$386,'Order Page'!C$24:C$386,"")</f>
        <v/>
      </c>
      <c r="C9" s="346"/>
      <c r="D9" s="349">
        <v>39</v>
      </c>
      <c r="E9" s="349" t="str">
        <f>_xlfn.XLOOKUP(D9,'Order Page'!O$24:O$386,'Order Page'!C$24:C$386,"")</f>
        <v>Acorus gramineus 'Ogon'</v>
      </c>
      <c r="G9" s="349">
        <v>61</v>
      </c>
      <c r="H9" s="349" t="str">
        <f>_xlfn.XLOOKUP(G9,'Order Page'!O$24:O$386,'Order Page'!C$24:C$386,"")</f>
        <v>Ranunculus Flammula</v>
      </c>
      <c r="I9" s="350">
        <v>90</v>
      </c>
      <c r="J9" s="350" t="str">
        <f>_xlfn.XLOOKUP(I9,'Order Page'!O$24:O$386,'Order Page'!C$24:C$386,"")</f>
        <v>Juncus effusus Spiralis</v>
      </c>
      <c r="K9" s="348"/>
      <c r="L9" s="350">
        <v>110</v>
      </c>
      <c r="M9" s="350" t="str">
        <f>_xlfn.XLOOKUP(L9,'Order Page'!O$24:O$386,'Order Page'!C$24:C$386,"")</f>
        <v/>
      </c>
      <c r="O9" s="350">
        <v>134</v>
      </c>
      <c r="P9" s="350" t="str">
        <f>_xlfn.XLOOKUP(O9,'Order Page'!O$24:O$386,'Order Page'!C$24:C$386,"")</f>
        <v/>
      </c>
      <c r="Q9" s="350">
        <v>153</v>
      </c>
      <c r="R9" s="350" t="s">
        <v>983</v>
      </c>
      <c r="T9" s="350">
        <v>171</v>
      </c>
      <c r="U9" s="350" t="s">
        <v>978</v>
      </c>
    </row>
    <row r="10" spans="1:23" x14ac:dyDescent="0.25">
      <c r="A10" s="349">
        <v>7</v>
      </c>
      <c r="B10" s="349" t="str">
        <f>_xlfn.XLOOKUP(A10,'Order Page'!O$24:O$386,'Order Page'!C$24:C$386,"")</f>
        <v/>
      </c>
      <c r="C10" s="346"/>
      <c r="D10" s="349">
        <v>40</v>
      </c>
      <c r="E10" s="349" t="str">
        <f>_xlfn.XLOOKUP(D10,'Order Page'!O$24:O$386,'Order Page'!C$24:C$386,"")</f>
        <v>Acorus gramineus Variegatus</v>
      </c>
      <c r="G10" s="349">
        <v>62</v>
      </c>
      <c r="H10" s="349" t="str">
        <f>_xlfn.XLOOKUP(G10,'Order Page'!O$24:O$386,'Order Page'!C$24:C$386,"")</f>
        <v>Ranunculus lingua grandiflora</v>
      </c>
      <c r="I10" s="350">
        <v>91</v>
      </c>
      <c r="J10" s="350" t="str">
        <f>_xlfn.XLOOKUP(I10,'Order Page'!O$24:O$386,'Order Page'!C$24:C$386,"")</f>
        <v>Juncus inflexus</v>
      </c>
      <c r="K10" s="348"/>
      <c r="L10" s="350">
        <v>111</v>
      </c>
      <c r="M10" s="350" t="str">
        <f>_xlfn.XLOOKUP(L10,'Order Page'!O$24:O$386,'Order Page'!C$24:C$386,"")</f>
        <v/>
      </c>
      <c r="O10" s="350">
        <v>135</v>
      </c>
      <c r="P10" s="350" t="str">
        <f>_xlfn.XLOOKUP(O10,'Order Page'!O$24:O$386,'Order Page'!C$24:C$386,"")</f>
        <v/>
      </c>
      <c r="Q10" s="350">
        <v>154</v>
      </c>
      <c r="R10" s="350" t="s">
        <v>984</v>
      </c>
      <c r="T10" s="350">
        <v>172</v>
      </c>
      <c r="U10" s="350" t="s">
        <v>978</v>
      </c>
    </row>
    <row r="11" spans="1:23" x14ac:dyDescent="0.25">
      <c r="A11" s="349">
        <v>8</v>
      </c>
      <c r="B11" s="349" t="str">
        <f>_xlfn.XLOOKUP(A11,'Order Page'!O$24:O$386,'Order Page'!C$24:C$386,"")</f>
        <v/>
      </c>
      <c r="C11" s="346"/>
      <c r="D11" s="349">
        <v>41</v>
      </c>
      <c r="E11" s="349" t="str">
        <f>_xlfn.XLOOKUP(D11,'Order Page'!O$24:O$386,'Order Page'!C$24:C$386,"")</f>
        <v>Carex panicea</v>
      </c>
      <c r="G11" s="349">
        <v>63</v>
      </c>
      <c r="H11" s="349" t="str">
        <f>_xlfn.XLOOKUP(G11,'Order Page'!O$24:O$386,'Order Page'!C$24:C$386,"")</f>
        <v>Veronica beccabunga</v>
      </c>
      <c r="I11" s="350">
        <v>92</v>
      </c>
      <c r="J11" s="350" t="str">
        <f>_xlfn.XLOOKUP(I11,'Order Page'!O$24:O$386,'Order Page'!C$24:C$386,"")</f>
        <v>Lychnis flos-cuculli</v>
      </c>
      <c r="K11" s="348"/>
      <c r="L11" s="350">
        <v>112</v>
      </c>
      <c r="M11" s="350" t="str">
        <f>_xlfn.XLOOKUP(L11,'Order Page'!O$24:O$386,'Order Page'!C$24:C$386,"")</f>
        <v/>
      </c>
      <c r="O11" s="350">
        <v>136</v>
      </c>
      <c r="P11" s="350" t="str">
        <f>_xlfn.XLOOKUP(O11,'Order Page'!O$24:O$386,'Order Page'!C$24:C$386,"")</f>
        <v/>
      </c>
      <c r="Q11" s="350">
        <v>155</v>
      </c>
      <c r="R11" s="350" t="s">
        <v>985</v>
      </c>
      <c r="T11" s="350">
        <v>173</v>
      </c>
      <c r="U11" s="350" t="s">
        <v>978</v>
      </c>
    </row>
    <row r="12" spans="1:23" x14ac:dyDescent="0.25">
      <c r="A12" s="349">
        <v>9</v>
      </c>
      <c r="B12" s="349" t="str">
        <f>_xlfn.XLOOKUP(A12,'Order Page'!O$24:O$386,'Order Page'!C$24:C$386,"")</f>
        <v/>
      </c>
      <c r="C12" s="346"/>
      <c r="D12" s="349">
        <v>42</v>
      </c>
      <c r="E12" s="349" t="str">
        <f>_xlfn.XLOOKUP(D12,'Order Page'!O$24:O$386,'Order Page'!C$24:C$386,"")</f>
        <v>Carex pendula</v>
      </c>
      <c r="G12" s="349">
        <v>64</v>
      </c>
      <c r="H12" s="349" t="str">
        <f>_xlfn.XLOOKUP(G12,'Order Page'!O$24:O$386,'Order Page'!C$24:C$386,"")</f>
        <v>Myosotis Palustris</v>
      </c>
      <c r="I12" s="350">
        <v>93</v>
      </c>
      <c r="J12" s="350" t="str">
        <f>_xlfn.XLOOKUP(I12,'Order Page'!O$24:O$386,'Order Page'!C$24:C$386,"")</f>
        <v>Lysimachia Nummularia</v>
      </c>
      <c r="K12" s="348"/>
      <c r="L12" s="350">
        <v>113</v>
      </c>
      <c r="M12" s="350" t="str">
        <f>_xlfn.XLOOKUP(L12,'Order Page'!O$24:O$386,'Order Page'!C$24:C$386,"")</f>
        <v/>
      </c>
      <c r="O12" s="350">
        <v>137</v>
      </c>
      <c r="P12" s="350" t="str">
        <f>_xlfn.XLOOKUP(O12,'Order Page'!O$24:O$386,'Order Page'!C$24:C$386,"")</f>
        <v>Hydrocotyle Vulgaris</v>
      </c>
      <c r="Q12" s="350">
        <v>156</v>
      </c>
      <c r="R12" s="350" t="s">
        <v>990</v>
      </c>
      <c r="T12" s="350">
        <v>174</v>
      </c>
      <c r="U12" s="350" t="s">
        <v>978</v>
      </c>
    </row>
    <row r="13" spans="1:23" x14ac:dyDescent="0.25">
      <c r="A13" s="349">
        <v>10</v>
      </c>
      <c r="B13" s="349" t="str">
        <f>_xlfn.XLOOKUP(A13,'Order Page'!O$24:O$386,'Order Page'!C$24:C$386,"")</f>
        <v/>
      </c>
      <c r="C13" s="346"/>
      <c r="D13" s="349">
        <v>43</v>
      </c>
      <c r="E13" s="349" t="str">
        <f>_xlfn.XLOOKUP(D13,'Order Page'!O$24:O$386,'Order Page'!C$24:C$386,"")</f>
        <v>Fritillaria meleagris</v>
      </c>
      <c r="G13" s="349">
        <v>65</v>
      </c>
      <c r="H13" s="349" t="str">
        <f>_xlfn.XLOOKUP(G13,'Order Page'!O$24:O$386,'Order Page'!C$24:C$386,"")</f>
        <v>Mentha Aquatica</v>
      </c>
      <c r="I13" s="350">
        <v>94</v>
      </c>
      <c r="J13" s="350" t="str">
        <f>_xlfn.XLOOKUP(I13,'Order Page'!O$24:O$386,'Order Page'!C$24:C$386,"")</f>
        <v xml:space="preserve">Mazus reptans Alba </v>
      </c>
      <c r="K13" s="348"/>
      <c r="L13" s="350">
        <v>114</v>
      </c>
      <c r="M13" s="350" t="str">
        <f>_xlfn.XLOOKUP(L13,'Order Page'!O$24:O$386,'Order Page'!C$24:C$386,"")</f>
        <v/>
      </c>
      <c r="O13" s="350">
        <v>138</v>
      </c>
      <c r="P13" s="350" t="str">
        <f>_xlfn.XLOOKUP(O13,'Order Page'!O$24:O$386,'Order Page'!C$24:C$386,"")</f>
        <v>Lilaeopsis brasilensis</v>
      </c>
      <c r="Q13" s="350">
        <v>157</v>
      </c>
      <c r="R13" s="350" t="s">
        <v>986</v>
      </c>
      <c r="T13" s="350">
        <v>177</v>
      </c>
      <c r="U13" s="350" t="s">
        <v>979</v>
      </c>
    </row>
    <row r="14" spans="1:23" x14ac:dyDescent="0.25">
      <c r="A14" s="349">
        <v>11</v>
      </c>
      <c r="B14" s="349" t="str">
        <f>_xlfn.XLOOKUP(A14,'Order Page'!O$24:O$386,'Order Page'!C$24:C$386,"")</f>
        <v/>
      </c>
      <c r="C14" s="346"/>
      <c r="D14" s="349">
        <v>44</v>
      </c>
      <c r="E14" s="349" t="str">
        <f>_xlfn.XLOOKUP(D14,'Order Page'!O$24:O$386,'Order Page'!C$24:C$386,"")</f>
        <v>Geum rivale</v>
      </c>
      <c r="G14" s="349">
        <v>66</v>
      </c>
      <c r="H14" s="349" t="str">
        <f>_xlfn.XLOOKUP(G14,'Order Page'!O$24:O$386,'Order Page'!C$24:C$386,"")</f>
        <v>Juncus effusus Spiralis</v>
      </c>
      <c r="I14" s="350">
        <v>95</v>
      </c>
      <c r="J14" s="350" t="str">
        <f>_xlfn.XLOOKUP(I14,'Order Page'!O$24:O$386,'Order Page'!C$24:C$386,"")</f>
        <v>Mentha Aquatica</v>
      </c>
      <c r="K14" s="348"/>
      <c r="L14" s="350">
        <v>115</v>
      </c>
      <c r="M14" s="350" t="str">
        <f>_xlfn.XLOOKUP(L14,'Order Page'!O$24:O$386,'Order Page'!C$24:C$386,"")</f>
        <v/>
      </c>
      <c r="O14" s="350">
        <v>139</v>
      </c>
      <c r="P14" s="350" t="str">
        <f>_xlfn.XLOOKUP(O14,'Order Page'!O$24:O$386,'Order Page'!C$24:C$386,"")</f>
        <v>Myriophyllum crispata</v>
      </c>
      <c r="Q14" s="350">
        <v>158</v>
      </c>
      <c r="R14" s="350" t="s">
        <v>991</v>
      </c>
      <c r="T14" s="350">
        <v>178</v>
      </c>
      <c r="U14" s="350" t="s">
        <v>981</v>
      </c>
    </row>
    <row r="15" spans="1:23" x14ac:dyDescent="0.25">
      <c r="A15" s="349">
        <v>12</v>
      </c>
      <c r="B15" s="349" t="str">
        <f>_xlfn.XLOOKUP(A15,'Order Page'!O$24:O$386,'Order Page'!C$24:C$386,"")</f>
        <v/>
      </c>
      <c r="C15" s="346"/>
      <c r="D15" s="349">
        <v>45</v>
      </c>
      <c r="E15" s="349" t="str">
        <f>_xlfn.XLOOKUP(D15,'Order Page'!O$24:O$386,'Order Page'!C$24:C$386,"")</f>
        <v>Glyceria Aquatica Variegata</v>
      </c>
      <c r="G15" s="349">
        <v>67</v>
      </c>
      <c r="H15" s="349" t="str">
        <f>_xlfn.XLOOKUP(G15,'Order Page'!O$24:O$386,'Order Page'!C$24:C$386,"")</f>
        <v>Iris Versicolor</v>
      </c>
      <c r="I15" s="350">
        <v>96</v>
      </c>
      <c r="J15" s="350" t="str">
        <f>_xlfn.XLOOKUP(I15,'Order Page'!O$24:O$386,'Order Page'!C$24:C$386,"")</f>
        <v>Myosotis Palustris</v>
      </c>
      <c r="K15" s="348"/>
      <c r="L15" s="350">
        <v>116</v>
      </c>
      <c r="M15" s="350" t="str">
        <f>_xlfn.XLOOKUP(L15,'Order Page'!O$24:O$386,'Order Page'!C$24:C$386,"")</f>
        <v/>
      </c>
      <c r="O15" s="350">
        <v>140</v>
      </c>
      <c r="P15" s="350" t="str">
        <f>_xlfn.XLOOKUP(O15,'Order Page'!O$24:O$386,'Order Page'!C$24:C$386,"")</f>
        <v xml:space="preserve">Myriophyllum rubricaule  </v>
      </c>
    </row>
    <row r="16" spans="1:23" x14ac:dyDescent="0.25">
      <c r="A16" s="349">
        <v>13</v>
      </c>
      <c r="B16" s="349" t="str">
        <f>_xlfn.XLOOKUP(A16,'Order Page'!O$24:O$386,'Order Page'!C$24:C$386,"")</f>
        <v/>
      </c>
      <c r="C16" s="346"/>
      <c r="D16" s="349">
        <v>46</v>
      </c>
      <c r="E16" s="349" t="str">
        <f>_xlfn.XLOOKUP(D16,'Order Page'!O$24:O$386,'Order Page'!C$24:C$386,"")</f>
        <v>Iris Ensata White</v>
      </c>
      <c r="G16" s="349">
        <v>68</v>
      </c>
      <c r="H16" s="349" t="str">
        <f>_xlfn.XLOOKUP(G16,'Order Page'!O$24:O$386,'Order Page'!C$24:C$386,"")</f>
        <v>Iris pseudacorus</v>
      </c>
      <c r="I16" s="350">
        <v>97</v>
      </c>
      <c r="J16" s="350" t="str">
        <f>_xlfn.XLOOKUP(I16,'Order Page'!O$24:O$386,'Order Page'!C$24:C$386,"")</f>
        <v>Oenanthe fistulosa Flamingo</v>
      </c>
      <c r="K16" s="348"/>
      <c r="L16" s="350">
        <v>117</v>
      </c>
      <c r="M16" s="350" t="str">
        <f>_xlfn.XLOOKUP(L16,'Order Page'!O$24:O$386,'Order Page'!C$24:C$386,"")</f>
        <v/>
      </c>
      <c r="Q16" s="398" t="s">
        <v>1008</v>
      </c>
      <c r="R16" s="398"/>
      <c r="T16" s="398" t="s">
        <v>1009</v>
      </c>
      <c r="U16" s="398"/>
    </row>
    <row r="17" spans="1:21" x14ac:dyDescent="0.25">
      <c r="A17" s="349">
        <v>14</v>
      </c>
      <c r="B17" s="349" t="str">
        <f>_xlfn.XLOOKUP(A17,'Order Page'!O$24:O$386,'Order Page'!C$24:C$386,"")</f>
        <v/>
      </c>
      <c r="C17" s="346"/>
      <c r="D17" s="349">
        <v>47</v>
      </c>
      <c r="E17" s="349" t="str">
        <f>_xlfn.XLOOKUP(D17,'Order Page'!O$24:O$386,'Order Page'!C$24:C$386,"")</f>
        <v>Iris Setosa</v>
      </c>
      <c r="G17" s="349">
        <v>69</v>
      </c>
      <c r="H17" s="349" t="str">
        <f>_xlfn.XLOOKUP(G17,'Order Page'!O$24:O$386,'Order Page'!C$24:C$386,"")</f>
        <v>Iris Ensata Kaempferi</v>
      </c>
      <c r="I17" s="350">
        <v>98</v>
      </c>
      <c r="J17" s="350" t="str">
        <f>_xlfn.XLOOKUP(I17,'Order Page'!O$24:O$386,'Order Page'!C$24:C$386,"")</f>
        <v>Phalaris arundinaea 'Picta'</v>
      </c>
      <c r="K17" s="348"/>
      <c r="L17" s="350">
        <v>118</v>
      </c>
      <c r="M17" s="350" t="str">
        <f>_xlfn.XLOOKUP(L17,'Order Page'!O$24:O$386,'Order Page'!C$24:C$386,"")</f>
        <v/>
      </c>
      <c r="Q17" s="398"/>
      <c r="R17" s="398"/>
      <c r="T17" s="398"/>
      <c r="U17" s="398"/>
    </row>
    <row r="18" spans="1:21" x14ac:dyDescent="0.25">
      <c r="A18" s="349">
        <v>15</v>
      </c>
      <c r="B18" s="349" t="str">
        <f>_xlfn.XLOOKUP(A18,'Order Page'!O$24:O$386,'Order Page'!C$24:C$386,"")</f>
        <v/>
      </c>
      <c r="C18" s="346"/>
      <c r="D18" s="349">
        <v>48</v>
      </c>
      <c r="E18" s="349" t="str">
        <f>_xlfn.XLOOKUP(D18,'Order Page'!O$24:O$386,'Order Page'!C$24:C$386,"")</f>
        <v>Iris Sibirica not quiet white</v>
      </c>
      <c r="G18" s="349">
        <v>70</v>
      </c>
      <c r="H18" s="349" t="str">
        <f>_xlfn.XLOOKUP(G18,'Order Page'!O$24:O$386,'Order Page'!C$24:C$386,"")</f>
        <v>Caltha Palustris</v>
      </c>
      <c r="I18" s="350">
        <v>99</v>
      </c>
      <c r="J18" s="350" t="str">
        <f>_xlfn.XLOOKUP(I18,'Order Page'!O$24:O$386,'Order Page'!C$24:C$386,"")</f>
        <v>Preslia Cervina</v>
      </c>
      <c r="K18" s="348"/>
      <c r="L18" s="350">
        <v>119</v>
      </c>
      <c r="M18" s="350" t="str">
        <f>_xlfn.XLOOKUP(L18,'Order Page'!O$24:O$386,'Order Page'!C$24:C$386,"")</f>
        <v/>
      </c>
      <c r="Q18" s="350">
        <v>159</v>
      </c>
      <c r="R18" s="350" t="s">
        <v>987</v>
      </c>
      <c r="T18" s="350">
        <v>146</v>
      </c>
      <c r="U18" s="350" t="s">
        <v>975</v>
      </c>
    </row>
    <row r="19" spans="1:21" x14ac:dyDescent="0.25">
      <c r="A19" s="349">
        <v>16</v>
      </c>
      <c r="B19" s="349" t="str">
        <f>_xlfn.XLOOKUP(A19,'Order Page'!O$24:O$386,'Order Page'!C$24:C$386,"")</f>
        <v/>
      </c>
      <c r="C19" s="346"/>
      <c r="D19" s="349">
        <v>49</v>
      </c>
      <c r="E19" s="349" t="str">
        <f>_xlfn.XLOOKUP(D19,'Order Page'!O$24:O$386,'Order Page'!C$24:C$386,"")</f>
        <v>Juncus Inflexus</v>
      </c>
      <c r="G19" s="349">
        <v>71</v>
      </c>
      <c r="H19" s="349" t="str">
        <f>_xlfn.XLOOKUP(G19,'Order Page'!O$24:O$386,'Order Page'!C$24:C$386,"")</f>
        <v/>
      </c>
      <c r="I19" s="350">
        <v>100</v>
      </c>
      <c r="J19" s="350" t="str">
        <f>_xlfn.XLOOKUP(I19,'Order Page'!O$24:O$386,'Order Page'!C$24:C$386,"")</f>
        <v>Ranunculus Flammula</v>
      </c>
      <c r="K19" s="348"/>
      <c r="L19" s="350">
        <v>120</v>
      </c>
      <c r="M19" s="350" t="str">
        <f>_xlfn.XLOOKUP(L19,'Order Page'!O$24:O$386,'Order Page'!C$24:C$386,"")</f>
        <v/>
      </c>
      <c r="Q19" s="350">
        <v>160</v>
      </c>
      <c r="R19" s="350" t="s">
        <v>988</v>
      </c>
      <c r="T19" s="350">
        <v>147</v>
      </c>
      <c r="U19" s="350" t="s">
        <v>976</v>
      </c>
    </row>
    <row r="20" spans="1:21" x14ac:dyDescent="0.25">
      <c r="A20" s="349">
        <v>17</v>
      </c>
      <c r="B20" s="349" t="str">
        <f>_xlfn.XLOOKUP(A20,'Order Page'!O$24:O$386,'Order Page'!C$24:C$386,"")</f>
        <v/>
      </c>
      <c r="C20" s="346"/>
      <c r="D20" s="349">
        <v>50</v>
      </c>
      <c r="E20" s="349" t="str">
        <f>_xlfn.XLOOKUP(D20,'Order Page'!O$24:O$386,'Order Page'!C$24:C$386,"")</f>
        <v>Lychnis flos-cuculi</v>
      </c>
      <c r="I20" s="350">
        <v>101</v>
      </c>
      <c r="J20" s="350" t="str">
        <f>_xlfn.XLOOKUP(I20,'Order Page'!O$24:O$386,'Order Page'!C$24:C$386,"")</f>
        <v>Ranunculus lingua grandiflora</v>
      </c>
      <c r="K20" s="348"/>
      <c r="L20" s="350">
        <v>121</v>
      </c>
      <c r="M20" s="350" t="str">
        <f>_xlfn.XLOOKUP(L20,'Order Page'!O$24:O$386,'Order Page'!C$24:C$386,"")</f>
        <v/>
      </c>
      <c r="Q20" s="350">
        <v>161</v>
      </c>
      <c r="R20" s="350" t="s">
        <v>989</v>
      </c>
      <c r="T20" s="350">
        <v>148</v>
      </c>
      <c r="U20" s="350" t="s">
        <v>977</v>
      </c>
    </row>
    <row r="21" spans="1:21" x14ac:dyDescent="0.25">
      <c r="A21" s="349">
        <v>18</v>
      </c>
      <c r="B21" s="349" t="str">
        <f>_xlfn.XLOOKUP(A21,'Order Page'!O$24:O$386,'Order Page'!C$24:C$386,"")</f>
        <v/>
      </c>
      <c r="C21" s="346"/>
      <c r="D21" s="349">
        <v>51</v>
      </c>
      <c r="E21" s="349" t="str">
        <f>_xlfn.XLOOKUP(D21,'Order Page'!O$24:O$386,'Order Page'!C$24:C$386,"")</f>
        <v>Lysimachia Nummularia</v>
      </c>
      <c r="I21" s="350">
        <v>102</v>
      </c>
      <c r="J21" s="350" t="str">
        <f>_xlfn.XLOOKUP(I21,'Order Page'!O$24:O$386,'Order Page'!C$24:C$386,"")</f>
        <v/>
      </c>
      <c r="K21" s="348"/>
      <c r="L21" s="350">
        <v>122</v>
      </c>
      <c r="M21" s="350" t="str">
        <f>_xlfn.XLOOKUP(L21,'Order Page'!O$24:O$386,'Order Page'!C$24:C$386,"")</f>
        <v/>
      </c>
      <c r="Q21" s="350">
        <v>162</v>
      </c>
      <c r="R21" s="350" t="s">
        <v>992</v>
      </c>
      <c r="T21" s="350">
        <v>149</v>
      </c>
      <c r="U21" s="350" t="s">
        <v>977</v>
      </c>
    </row>
    <row r="22" spans="1:21" x14ac:dyDescent="0.25">
      <c r="A22" s="349">
        <v>19</v>
      </c>
      <c r="B22" s="349" t="str">
        <f>_xlfn.XLOOKUP(A22,'Order Page'!O$24:O$386,'Order Page'!C$24:C$386,"")</f>
        <v/>
      </c>
      <c r="C22" s="346"/>
      <c r="D22" s="349">
        <v>52</v>
      </c>
      <c r="E22" s="349" t="str">
        <f>_xlfn.XLOOKUP(D22,'Order Page'!O$24:O$386,'Order Page'!C$24:C$386,"")</f>
        <v>Lysimachia Nummularia Aurea</v>
      </c>
      <c r="I22" s="350">
        <v>103</v>
      </c>
      <c r="J22" s="350" t="str">
        <f>_xlfn.XLOOKUP(I22,'Order Page'!O$24:O$386,'Order Page'!C$24:C$386,"")</f>
        <v/>
      </c>
      <c r="K22" s="348"/>
      <c r="L22" s="350">
        <v>123</v>
      </c>
      <c r="M22" s="350" t="str">
        <f>_xlfn.XLOOKUP(L22,'Order Page'!O$24:O$386,'Order Page'!C$24:C$386,"")</f>
        <v/>
      </c>
      <c r="Q22" s="350">
        <v>163</v>
      </c>
      <c r="R22" s="350" t="s">
        <v>993</v>
      </c>
      <c r="T22" s="350">
        <v>175</v>
      </c>
      <c r="U22" s="350" t="s">
        <v>980</v>
      </c>
    </row>
    <row r="23" spans="1:21" x14ac:dyDescent="0.25">
      <c r="A23" s="349">
        <v>20</v>
      </c>
      <c r="B23" s="349" t="str">
        <f>_xlfn.XLOOKUP(A23,'Order Page'!O$24:O$386,'Order Page'!C$24:C$386,"")</f>
        <v/>
      </c>
      <c r="C23" s="346"/>
      <c r="D23" s="349">
        <v>53</v>
      </c>
      <c r="E23" s="349" t="str">
        <f>_xlfn.XLOOKUP(D23,'Order Page'!O$24:O$386,'Order Page'!C$24:C$386,"")</f>
        <v>Mazus reptans Albus</v>
      </c>
      <c r="I23" s="350">
        <v>104</v>
      </c>
      <c r="J23" s="350" t="str">
        <f>_xlfn.XLOOKUP(I23,'Order Page'!O$24:O$386,'Order Page'!C$24:C$386,"")</f>
        <v/>
      </c>
      <c r="K23" s="348"/>
      <c r="L23" s="350">
        <v>124</v>
      </c>
      <c r="M23" s="350" t="str">
        <f>_xlfn.XLOOKUP(L23,'Order Page'!O$24:O$386,'Order Page'!C$24:C$386,"")</f>
        <v/>
      </c>
      <c r="Q23" s="350">
        <v>164</v>
      </c>
      <c r="R23" s="350" t="s">
        <v>994</v>
      </c>
      <c r="T23" s="350">
        <v>176</v>
      </c>
      <c r="U23" s="350" t="s">
        <v>980</v>
      </c>
    </row>
    <row r="24" spans="1:21" x14ac:dyDescent="0.25">
      <c r="A24" s="349">
        <v>21</v>
      </c>
      <c r="B24" s="349" t="str">
        <f>_xlfn.XLOOKUP(A24,'Order Page'!O$24:O$386,'Order Page'!C$24:C$386,"")</f>
        <v/>
      </c>
      <c r="C24" s="346"/>
      <c r="D24" s="349">
        <v>54</v>
      </c>
      <c r="E24" s="349" t="str">
        <f>_xlfn.XLOOKUP(D24,'Order Page'!O$24:O$386,'Order Page'!C$24:C$386,"")</f>
        <v>Mazus Reptans Blue</v>
      </c>
      <c r="K24" s="348"/>
      <c r="L24" s="350">
        <v>125</v>
      </c>
      <c r="M24" s="350" t="str">
        <f>_xlfn.XLOOKUP(L24,'Order Page'!O$24:O$386,'Order Page'!C$24:C$386,"")</f>
        <v/>
      </c>
      <c r="Q24" s="350">
        <v>165</v>
      </c>
      <c r="R24" s="350" t="s">
        <v>998</v>
      </c>
      <c r="T24" s="350">
        <v>179</v>
      </c>
      <c r="U24" s="350" t="s">
        <v>982</v>
      </c>
    </row>
    <row r="25" spans="1:21" x14ac:dyDescent="0.25">
      <c r="A25" s="349">
        <v>22</v>
      </c>
      <c r="B25" s="349" t="str">
        <f>_xlfn.XLOOKUP(A25,'Order Page'!O$24:O$386,'Order Page'!C$24:C$386,"")</f>
        <v/>
      </c>
      <c r="C25" s="346"/>
      <c r="D25" s="349">
        <v>55</v>
      </c>
      <c r="E25" s="349" t="str">
        <f>_xlfn.XLOOKUP(D25,'Order Page'!O$24:O$386,'Order Page'!C$24:C$386,"")</f>
        <v>Mentha Pulegium</v>
      </c>
      <c r="K25" s="348"/>
      <c r="L25" s="350">
        <v>126</v>
      </c>
      <c r="M25" s="350" t="str">
        <f>_xlfn.XLOOKUP(L25,'Order Page'!O$24:O$386,'Order Page'!C$24:C$386,"")</f>
        <v/>
      </c>
      <c r="Q25" s="350">
        <v>166</v>
      </c>
      <c r="R25" s="350" t="s">
        <v>995</v>
      </c>
      <c r="T25" s="350">
        <v>180</v>
      </c>
      <c r="U25" s="350" t="s">
        <v>982</v>
      </c>
    </row>
    <row r="26" spans="1:21" x14ac:dyDescent="0.25">
      <c r="A26" s="349">
        <v>23</v>
      </c>
      <c r="B26" s="349" t="str">
        <f>_xlfn.XLOOKUP(A26,'Order Page'!O$24:O$386,'Order Page'!C$24:C$386,"")</f>
        <v/>
      </c>
      <c r="C26" s="346"/>
      <c r="K26" s="348"/>
      <c r="L26" s="350">
        <v>127</v>
      </c>
      <c r="M26" s="350" t="str">
        <f>_xlfn.XLOOKUP(L26,'Order Page'!O$24:O$386,'Order Page'!C$24:C$386,"")</f>
        <v/>
      </c>
      <c r="Q26" s="350">
        <v>167</v>
      </c>
      <c r="R26" s="350" t="s">
        <v>996</v>
      </c>
    </row>
    <row r="27" spans="1:21" x14ac:dyDescent="0.25">
      <c r="A27" s="349">
        <v>24</v>
      </c>
      <c r="B27" s="349" t="str">
        <f>_xlfn.XLOOKUP(A27,'Order Page'!O$24:O$386,'Order Page'!C$24:C$386,"")</f>
        <v/>
      </c>
      <c r="C27" s="346"/>
      <c r="K27" s="348"/>
      <c r="L27" s="350">
        <v>128</v>
      </c>
      <c r="M27" s="350" t="str">
        <f>_xlfn.XLOOKUP(L27,'Order Page'!O$24:O$386,'Order Page'!C$24:C$386,"")</f>
        <v/>
      </c>
      <c r="Q27" s="350">
        <v>168</v>
      </c>
      <c r="R27" s="350" t="s">
        <v>997</v>
      </c>
    </row>
    <row r="28" spans="1:21" x14ac:dyDescent="0.25">
      <c r="A28" s="349">
        <v>25</v>
      </c>
      <c r="B28" s="349" t="str">
        <f>_xlfn.XLOOKUP(A28,'Order Page'!O$24:O$386,'Order Page'!C$24:C$386,"")</f>
        <v/>
      </c>
      <c r="C28" s="346"/>
      <c r="K28" s="348"/>
      <c r="Q28" s="350">
        <v>181</v>
      </c>
      <c r="R28" s="350" t="s">
        <v>999</v>
      </c>
    </row>
    <row r="29" spans="1:21" x14ac:dyDescent="0.25">
      <c r="A29" s="349">
        <v>26</v>
      </c>
      <c r="B29" s="349" t="str">
        <f>_xlfn.XLOOKUP(A29,'Order Page'!O$24:O$386,'Order Page'!C$24:C$386,"")</f>
        <v/>
      </c>
      <c r="C29" s="346"/>
      <c r="K29" s="348"/>
      <c r="Q29" s="350">
        <v>182</v>
      </c>
      <c r="R29" s="350" t="s">
        <v>1000</v>
      </c>
    </row>
    <row r="30" spans="1:21" x14ac:dyDescent="0.25">
      <c r="A30" s="349">
        <v>27</v>
      </c>
      <c r="B30" s="349" t="str">
        <f>_xlfn.XLOOKUP(A30,'Order Page'!O$24:O$386,'Order Page'!C$24:C$386,"")</f>
        <v/>
      </c>
      <c r="C30" s="346"/>
      <c r="D30" s="346"/>
      <c r="E30" s="346"/>
      <c r="K30" s="348"/>
      <c r="Q30" s="350">
        <v>183</v>
      </c>
      <c r="R30" s="350" t="s">
        <v>1001</v>
      </c>
    </row>
    <row r="31" spans="1:21" x14ac:dyDescent="0.25">
      <c r="A31" s="349">
        <v>28</v>
      </c>
      <c r="B31" s="349" t="str">
        <f>_xlfn.XLOOKUP(A31,'Order Page'!O$24:O$386,'Order Page'!C$24:C$386,"")</f>
        <v/>
      </c>
      <c r="C31" s="346"/>
      <c r="G31" s="398" t="s">
        <v>968</v>
      </c>
      <c r="H31" s="398"/>
      <c r="K31" s="348"/>
      <c r="Q31" s="350">
        <v>184</v>
      </c>
      <c r="R31" s="350" t="s">
        <v>1002</v>
      </c>
    </row>
    <row r="32" spans="1:21" x14ac:dyDescent="0.25">
      <c r="A32" s="349">
        <v>29</v>
      </c>
      <c r="B32" s="349" t="str">
        <f>_xlfn.XLOOKUP(A32,'Order Page'!O$24:O$386,'Order Page'!C$24:C$386,"")</f>
        <v/>
      </c>
      <c r="C32" s="346"/>
      <c r="G32" s="398"/>
      <c r="H32" s="398"/>
      <c r="Q32" s="350">
        <v>185</v>
      </c>
      <c r="R32" s="350" t="s">
        <v>1003</v>
      </c>
    </row>
    <row r="33" spans="1:18" x14ac:dyDescent="0.25">
      <c r="A33" s="349">
        <v>30</v>
      </c>
      <c r="B33" s="349" t="str">
        <f>_xlfn.XLOOKUP(A33,'Order Page'!O$24:O$386,'Order Page'!C$24:C$386,"")</f>
        <v/>
      </c>
      <c r="C33" s="346"/>
      <c r="G33" s="349">
        <v>72</v>
      </c>
      <c r="H33" s="349" t="str">
        <f>_xlfn.XLOOKUP(G33,'Order Page'!O$24:O$386,'Order Page'!C$24:C$386,"")</f>
        <v/>
      </c>
      <c r="Q33" s="350">
        <v>186</v>
      </c>
      <c r="R33" s="350" t="s">
        <v>1004</v>
      </c>
    </row>
    <row r="34" spans="1:18" x14ac:dyDescent="0.25">
      <c r="A34" s="349">
        <v>31</v>
      </c>
      <c r="B34" s="349" t="str">
        <f>_xlfn.XLOOKUP(A34,'Order Page'!O$24:O$386,'Order Page'!C$24:C$386,"")</f>
        <v/>
      </c>
      <c r="C34" s="346"/>
      <c r="G34" s="349">
        <v>73</v>
      </c>
      <c r="H34" s="349" t="str">
        <f>_xlfn.XLOOKUP(G34,'Order Page'!O$24:O$386,'Order Page'!C$24:C$386,"")</f>
        <v/>
      </c>
      <c r="Q34" s="350">
        <v>187</v>
      </c>
      <c r="R34" s="350" t="s">
        <v>1005</v>
      </c>
    </row>
    <row r="35" spans="1:18" x14ac:dyDescent="0.25">
      <c r="A35" s="349">
        <v>32</v>
      </c>
      <c r="B35" s="349" t="str">
        <f>_xlfn.XLOOKUP(A35,'Order Page'!O$24:O$386,'Order Page'!C$24:C$386,"")</f>
        <v/>
      </c>
      <c r="C35" s="346"/>
      <c r="G35" s="349">
        <v>74</v>
      </c>
      <c r="H35" s="349" t="str">
        <f>_xlfn.XLOOKUP(G35,'Order Page'!O$24:O$386,'Order Page'!C$24:C$386,"")</f>
        <v/>
      </c>
      <c r="K35" s="348"/>
      <c r="Q35" s="350">
        <v>188</v>
      </c>
      <c r="R35" s="351" t="s">
        <v>1006</v>
      </c>
    </row>
    <row r="36" spans="1:18" x14ac:dyDescent="0.25">
      <c r="A36" s="349">
        <v>33</v>
      </c>
      <c r="B36" s="349" t="str">
        <f>_xlfn.XLOOKUP(A36,'Order Page'!O$24:O$386,'Order Page'!C$24:C$386,"")</f>
        <v/>
      </c>
      <c r="C36" s="346"/>
      <c r="G36" s="349">
        <v>75</v>
      </c>
      <c r="H36" s="349" t="str">
        <f>_xlfn.XLOOKUP(G36,'Order Page'!O$24:O$386,'Order Page'!C$24:C$386,"")</f>
        <v/>
      </c>
      <c r="K36" s="348"/>
    </row>
    <row r="37" spans="1:18" x14ac:dyDescent="0.25">
      <c r="C37" s="346"/>
      <c r="G37" s="349">
        <v>76</v>
      </c>
      <c r="H37" s="349" t="str">
        <f>_xlfn.XLOOKUP(G37,'Order Page'!O$24:O$386,'Order Page'!C$24:C$386,"")</f>
        <v>Anagalis tenella</v>
      </c>
      <c r="K37" s="348"/>
    </row>
    <row r="38" spans="1:18" x14ac:dyDescent="0.25">
      <c r="C38" s="346"/>
      <c r="G38" s="349">
        <v>77</v>
      </c>
      <c r="H38" s="349" t="str">
        <f>_xlfn.XLOOKUP(G38,'Order Page'!O$24:O$386,'Order Page'!C$24:C$386,"")</f>
        <v>Bacopa caroliniana</v>
      </c>
      <c r="K38" s="348"/>
    </row>
    <row r="39" spans="1:18" x14ac:dyDescent="0.25">
      <c r="C39" s="346"/>
      <c r="G39" s="349">
        <v>78</v>
      </c>
      <c r="H39" s="349" t="str">
        <f>_xlfn.XLOOKUP(G39,'Order Page'!O$24:O$386,'Order Page'!C$24:C$386,"")</f>
        <v>Hippuris vulgaris</v>
      </c>
      <c r="K39" s="348"/>
    </row>
    <row r="40" spans="1:18" x14ac:dyDescent="0.25">
      <c r="C40" s="346"/>
      <c r="G40" s="349">
        <v>79</v>
      </c>
      <c r="H40" s="349" t="str">
        <f>_xlfn.XLOOKUP(G40,'Order Page'!O$24:O$386,'Order Page'!C$24:C$386,"")</f>
        <v>Hydrocotyle Variegata</v>
      </c>
      <c r="K40" s="348"/>
    </row>
    <row r="41" spans="1:18" x14ac:dyDescent="0.25">
      <c r="C41" s="346"/>
      <c r="G41" s="349">
        <v>80</v>
      </c>
      <c r="H41" s="349" t="str">
        <f>_xlfn.XLOOKUP(G41,'Order Page'!O$24:O$386,'Order Page'!C$24:C$386,"")</f>
        <v xml:space="preserve">Hydrocotyle Vulgaris </v>
      </c>
      <c r="K41" s="348"/>
    </row>
    <row r="42" spans="1:18" x14ac:dyDescent="0.25">
      <c r="C42" s="346"/>
      <c r="G42" s="349">
        <v>81</v>
      </c>
      <c r="H42" s="349" t="str">
        <f>_xlfn.XLOOKUP(G42,'Order Page'!O$24:O$386,'Order Page'!C$24:C$386,"")</f>
        <v>Lilaeopsis brasilensis</v>
      </c>
      <c r="K42" s="348"/>
    </row>
    <row r="43" spans="1:18" x14ac:dyDescent="0.25">
      <c r="C43" s="346"/>
      <c r="G43" s="349">
        <v>82</v>
      </c>
      <c r="H43" s="349" t="str">
        <f>_xlfn.XLOOKUP(G43,'Order Page'!O$24:O$386,'Order Page'!C$24:C$386,"")</f>
        <v>Myriophyllum crispatum</v>
      </c>
      <c r="I43" s="348"/>
      <c r="J43" s="348"/>
      <c r="K43" s="348"/>
    </row>
    <row r="44" spans="1:18" x14ac:dyDescent="0.25">
      <c r="C44" s="346"/>
      <c r="G44" s="349">
        <v>83</v>
      </c>
      <c r="H44" s="349" t="str">
        <f>_xlfn.XLOOKUP(G44,'Order Page'!O$24:O$386,'Order Page'!C$24:C$386,"")</f>
        <v xml:space="preserve">Myriophyllum red stem    </v>
      </c>
      <c r="I44" s="348"/>
      <c r="J44" s="348"/>
      <c r="K44" s="348"/>
    </row>
    <row r="45" spans="1:18" x14ac:dyDescent="0.25">
      <c r="C45" s="346"/>
      <c r="G45" s="349">
        <v>84</v>
      </c>
      <c r="H45" s="349" t="str">
        <f>_xlfn.XLOOKUP(G45,'Order Page'!O$24:O$386,'Order Page'!C$24:C$386,"")</f>
        <v>Scirpus Cernuus</v>
      </c>
      <c r="I45" s="348"/>
      <c r="J45" s="348"/>
      <c r="K45" s="348"/>
    </row>
    <row r="46" spans="1:18" x14ac:dyDescent="0.25">
      <c r="C46" s="346"/>
      <c r="D46" s="346"/>
      <c r="E46" s="346"/>
    </row>
    <row r="47" spans="1:18" x14ac:dyDescent="0.25">
      <c r="C47" s="346"/>
      <c r="D47" s="346"/>
      <c r="E47" s="346"/>
    </row>
    <row r="48" spans="1:18" x14ac:dyDescent="0.25">
      <c r="C48" s="346"/>
      <c r="D48" s="346"/>
      <c r="E48" s="346"/>
    </row>
    <row r="49" spans="1:5" x14ac:dyDescent="0.25">
      <c r="A49" s="346"/>
      <c r="B49" s="346"/>
      <c r="C49" s="346"/>
      <c r="D49" s="346"/>
      <c r="E49" s="346"/>
    </row>
  </sheetData>
  <mergeCells count="11">
    <mergeCell ref="T16:U17"/>
    <mergeCell ref="T2:U3"/>
    <mergeCell ref="G31:H32"/>
    <mergeCell ref="A2:B3"/>
    <mergeCell ref="I2:J3"/>
    <mergeCell ref="D2:E3"/>
    <mergeCell ref="L2:M3"/>
    <mergeCell ref="Q2:R3"/>
    <mergeCell ref="Q16:R17"/>
    <mergeCell ref="G2:H3"/>
    <mergeCell ref="O2:P3"/>
  </mergeCells>
  <pageMargins left="0.23622047244094491" right="0.23622047244094491" top="0.55118110236220474" bottom="0.55118110236220474" header="0" footer="0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A7AE51A4B7712B4F9AE2C8E91559BF2C" ma:contentTypeVersion="6" ma:contentTypeDescription="Create a new document." ma:contentTypeScope="" ma:versionID="0acfa4a3cfd5de25da658690f728464c">
  <xsd:schema xmlns:xsd="http://www.w3.org/2001/XMLSchema" xmlns:xs="http://www.w3.org/2001/XMLSchema" xmlns:p="http://schemas.microsoft.com/office/2006/metadata/properties" xmlns:ns3="8c25e7a7-1b36-4b26-adcd-4ee8468b0183" targetNamespace="http://schemas.microsoft.com/office/2006/metadata/properties" ma:root="true" ma:fieldsID="8dd20e9f29c9216dc85d52fda2b54305" ns3:_="">
    <xsd:import namespace="8c25e7a7-1b36-4b26-adcd-4ee8468b0183"/>
    <xsd:element name="properties">
      <xsd:complexType>
        <xsd:sequence>
          <xsd:element name="documentManagement">
            <xsd:complexType>
              <xsd:all>
                <xsd:element ref="ns3:MediaServiceDateTaken" minOccurs="0"/>
                <xsd:element ref="ns3:MediaServiceMetadata" minOccurs="0"/>
                <xsd:element ref="ns3:MediaServiceFastMetadata" minOccurs="0"/>
                <xsd:element ref="ns3:MediaServiceSearchProperties" minOccurs="0"/>
                <xsd:element ref="ns3:MediaServiceObjectDetectorVersions" minOccurs="0"/>
                <xsd:element ref="ns3:_activity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8c25e7a7-1b36-4b26-adcd-4ee8468b0183" elementFormDefault="qualified">
    <xsd:import namespace="http://schemas.microsoft.com/office/2006/documentManagement/types"/>
    <xsd:import namespace="http://schemas.microsoft.com/office/infopath/2007/PartnerControls"/>
    <xsd:element name="MediaServiceDateTaken" ma:index="8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Metadata" ma:index="9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0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SearchProperties" ma:index="11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ObjectDetectorVersions" ma:index="12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_activity" ma:index="13" nillable="true" ma:displayName="_activity" ma:hidden="true" ma:internalName="_activity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_activity xmlns="8c25e7a7-1b36-4b26-adcd-4ee8468b0183" xsi:nil="true"/>
  </documentManagement>
</p:properties>
</file>

<file path=customXml/itemProps1.xml><?xml version="1.0" encoding="utf-8"?>
<ds:datastoreItem xmlns:ds="http://schemas.openxmlformats.org/officeDocument/2006/customXml" ds:itemID="{8743CAFC-CE55-41A7-B7CC-E147AFB8E37E}">
  <ds:schemaRefs>
    <ds:schemaRef ds:uri="http://schemas.microsoft.com/sharepoint/v3/contenttype/forms"/>
  </ds:schemaRefs>
</ds:datastoreItem>
</file>

<file path=customXml/itemProps2.xml><?xml version="1.0" encoding="utf-8"?>
<ds:datastoreItem xmlns:ds="http://schemas.openxmlformats.org/officeDocument/2006/customXml" ds:itemID="{1C9FF99C-76F4-4FB8-8C7F-49C3DA6D9DE7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8c25e7a7-1b36-4b26-adcd-4ee8468b0183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07AA0ED-D67C-41CA-979C-D057E05A1DF6}">
  <ds:schemaRefs>
    <ds:schemaRef ds:uri="http://www.w3.org/XML/1998/namespace"/>
    <ds:schemaRef ds:uri="8c25e7a7-1b36-4b26-adcd-4ee8468b0183"/>
    <ds:schemaRef ds:uri="http://schemas.microsoft.com/office/2006/documentManagement/types"/>
    <ds:schemaRef ds:uri="http://purl.org/dc/elements/1.1/"/>
    <ds:schemaRef ds:uri="http://schemas.openxmlformats.org/package/2006/metadata/core-properties"/>
    <ds:schemaRef ds:uri="http://schemas.microsoft.com/office/2006/metadata/properties"/>
    <ds:schemaRef ds:uri="http://purl.org/dc/terms/"/>
    <ds:schemaRef ds:uri="http://schemas.microsoft.com/office/infopath/2007/PartnerControls"/>
    <ds:schemaRef ds:uri="http://purl.org/dc/dcmitype/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6</vt:i4>
      </vt:variant>
      <vt:variant>
        <vt:lpstr>Named Ranges</vt:lpstr>
      </vt:variant>
      <vt:variant>
        <vt:i4>3</vt:i4>
      </vt:variant>
    </vt:vector>
  </HeadingPairs>
  <TitlesOfParts>
    <vt:vector size="9" baseType="lpstr">
      <vt:lpstr>Order Page</vt:lpstr>
      <vt:lpstr>Order Summary</vt:lpstr>
      <vt:lpstr>TB</vt:lpstr>
      <vt:lpstr>Nursery Sheet</vt:lpstr>
      <vt:lpstr>Import</vt:lpstr>
      <vt:lpstr>L</vt:lpstr>
      <vt:lpstr>'Nursery Sheet'!Print_Area</vt:lpstr>
      <vt:lpstr>'Order Page'!Print_Area</vt:lpstr>
      <vt:lpstr>'Order Summary'!Print_Area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Alex Lowe</dc:creator>
  <cp:keywords/>
  <dc:description/>
  <cp:lastModifiedBy>Alex Lowe</cp:lastModifiedBy>
  <cp:revision/>
  <cp:lastPrinted>2026-02-06T10:25:14Z</cp:lastPrinted>
  <dcterms:created xsi:type="dcterms:W3CDTF">2025-02-25T08:12:28Z</dcterms:created>
  <dcterms:modified xsi:type="dcterms:W3CDTF">2026-02-09T10:43:25Z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0x010100A7AE51A4B7712B4F9AE2C8E91559BF2C</vt:lpwstr>
  </property>
</Properties>
</file>